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440" activeTab="2"/>
  </bookViews>
  <sheets>
    <sheet name="5" sheetId="14" r:id="rId1"/>
    <sheet name="6" sheetId="13" r:id="rId2"/>
    <sheet name="7" sheetId="16" r:id="rId3"/>
    <sheet name="Лист1" sheetId="15" r:id="rId4"/>
  </sheets>
  <definedNames>
    <definedName name="_xlnm._FilterDatabase" localSheetId="0" hidden="1">'5'!$A$9:$D$44</definedName>
    <definedName name="_xlnm._FilterDatabase" localSheetId="1" hidden="1">'6'!$A$12:$J$296</definedName>
    <definedName name="_xlnm._FilterDatabase" localSheetId="2" hidden="1">'7'!$A$11:$J$278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'5'!$A$1:$F$44</definedName>
    <definedName name="_xlnm.Print_Area" localSheetId="1">'6'!$A$1:$I$301</definedName>
    <definedName name="_xlnm.Print_Area" localSheetId="2">'7'!$A$1:$I$284</definedName>
  </definedNames>
  <calcPr calcId="162913" fullCalcOnLoad="1"/>
</workbook>
</file>

<file path=xl/calcChain.xml><?xml version="1.0" encoding="utf-8"?>
<calcChain xmlns="http://schemas.openxmlformats.org/spreadsheetml/2006/main">
  <c r="G40" i="16" l="1"/>
  <c r="G255" i="16"/>
  <c r="G254" i="16" s="1"/>
  <c r="G293" i="16"/>
  <c r="G58" i="16"/>
  <c r="G62" i="16"/>
  <c r="G247" i="16"/>
  <c r="G204" i="16"/>
  <c r="G159" i="16"/>
  <c r="G51" i="16"/>
  <c r="G50" i="16" s="1"/>
  <c r="G240" i="13"/>
  <c r="G239" i="13" s="1"/>
  <c r="G241" i="13"/>
  <c r="G52" i="16"/>
  <c r="G252" i="16"/>
  <c r="G269" i="16"/>
  <c r="G172" i="16"/>
  <c r="G179" i="13"/>
  <c r="G180" i="13"/>
  <c r="G162" i="13"/>
  <c r="G163" i="13"/>
  <c r="G72" i="13"/>
  <c r="G253" i="13"/>
  <c r="G177" i="13"/>
  <c r="G317" i="13"/>
  <c r="G264" i="13"/>
  <c r="G268" i="13"/>
  <c r="G172" i="13"/>
  <c r="G171" i="13"/>
  <c r="G170" i="13" s="1"/>
  <c r="G169" i="13" s="1"/>
  <c r="G167" i="13"/>
  <c r="G68" i="13"/>
  <c r="G62" i="13"/>
  <c r="G18" i="13"/>
  <c r="G227" i="13"/>
  <c r="G31" i="13"/>
  <c r="G19" i="16"/>
  <c r="G17" i="16"/>
  <c r="G173" i="16"/>
  <c r="G191" i="16"/>
  <c r="G192" i="16"/>
  <c r="G210" i="16"/>
  <c r="G26" i="16"/>
  <c r="G239" i="16"/>
  <c r="G110" i="16"/>
  <c r="G108" i="16"/>
  <c r="G136" i="16"/>
  <c r="G130" i="16"/>
  <c r="G128" i="16"/>
  <c r="G32" i="16"/>
  <c r="G46" i="16"/>
  <c r="G70" i="16"/>
  <c r="I229" i="16"/>
  <c r="I228" i="16"/>
  <c r="I227" i="16" s="1"/>
  <c r="I226" i="16" s="1"/>
  <c r="H229" i="16"/>
  <c r="H228" i="16"/>
  <c r="H227" i="16" s="1"/>
  <c r="H226" i="16" s="1"/>
  <c r="G229" i="16"/>
  <c r="G228" i="16"/>
  <c r="G227" i="16" s="1"/>
  <c r="G226" i="16" s="1"/>
  <c r="G39" i="16"/>
  <c r="G38" i="16"/>
  <c r="G196" i="16"/>
  <c r="G125" i="16"/>
  <c r="G32" i="13"/>
  <c r="G30" i="13" s="1"/>
  <c r="G55" i="13"/>
  <c r="G56" i="13"/>
  <c r="G58" i="13"/>
  <c r="G66" i="13"/>
  <c r="G74" i="13"/>
  <c r="G88" i="13"/>
  <c r="G156" i="13"/>
  <c r="G149" i="13"/>
  <c r="G147" i="13"/>
  <c r="G198" i="13"/>
  <c r="G192" i="13"/>
  <c r="G190" i="13"/>
  <c r="G218" i="13"/>
  <c r="G235" i="13"/>
  <c r="G296" i="13"/>
  <c r="G301" i="13"/>
  <c r="G186" i="13"/>
  <c r="G226" i="13"/>
  <c r="G60" i="13"/>
  <c r="G102" i="13"/>
  <c r="G309" i="13"/>
  <c r="G307" i="13"/>
  <c r="G306" i="13"/>
  <c r="G305" i="13" s="1"/>
  <c r="G304" i="13" s="1"/>
  <c r="G211" i="13"/>
  <c r="G209" i="13"/>
  <c r="G208" i="13"/>
  <c r="G207" i="13"/>
  <c r="G206" i="13" s="1"/>
  <c r="G175" i="13"/>
  <c r="G148" i="16"/>
  <c r="G152" i="16"/>
  <c r="G142" i="16"/>
  <c r="G140" i="16"/>
  <c r="G150" i="16"/>
  <c r="G146" i="16"/>
  <c r="G145" i="16" s="1"/>
  <c r="G139" i="16" s="1"/>
  <c r="G138" i="16" s="1"/>
  <c r="G250" i="16"/>
  <c r="G249" i="16"/>
  <c r="G174" i="13"/>
  <c r="G173" i="13" s="1"/>
  <c r="G18" i="16"/>
  <c r="G143" i="16"/>
  <c r="G270" i="16"/>
  <c r="G261" i="16"/>
  <c r="G260" i="16"/>
  <c r="G61" i="16"/>
  <c r="G60" i="16"/>
  <c r="G59" i="16" s="1"/>
  <c r="G171" i="16"/>
  <c r="G170" i="16"/>
  <c r="G29" i="13"/>
  <c r="G28" i="13" s="1"/>
  <c r="G27" i="13" s="1"/>
  <c r="G288" i="13"/>
  <c r="G189" i="13"/>
  <c r="G113" i="13"/>
  <c r="G100" i="13"/>
  <c r="G99" i="13"/>
  <c r="G98" i="13" s="1"/>
  <c r="G103" i="13"/>
  <c r="G101" i="13"/>
  <c r="G258" i="13"/>
  <c r="G257" i="13" s="1"/>
  <c r="G202" i="13"/>
  <c r="G201" i="13" s="1"/>
  <c r="G200" i="13" s="1"/>
  <c r="G199" i="13" s="1"/>
  <c r="G119" i="16"/>
  <c r="G118" i="16" s="1"/>
  <c r="G117" i="16" s="1"/>
  <c r="G67" i="13"/>
  <c r="G178" i="16"/>
  <c r="G177" i="16" s="1"/>
  <c r="G176" i="16" s="1"/>
  <c r="G175" i="16" s="1"/>
  <c r="G174" i="16" s="1"/>
  <c r="G37" i="13"/>
  <c r="G36" i="13"/>
  <c r="G35" i="13" s="1"/>
  <c r="G34" i="13" s="1"/>
  <c r="G33" i="13" s="1"/>
  <c r="D17" i="14" s="1"/>
  <c r="G82" i="16"/>
  <c r="G112" i="13"/>
  <c r="G111" i="13" s="1"/>
  <c r="G110" i="13" s="1"/>
  <c r="G114" i="13"/>
  <c r="E36" i="14"/>
  <c r="F36" i="14"/>
  <c r="D36" i="14"/>
  <c r="E42" i="14"/>
  <c r="F42" i="14"/>
  <c r="G127" i="16"/>
  <c r="G25" i="16"/>
  <c r="G24" i="16"/>
  <c r="G23" i="16" s="1"/>
  <c r="G22" i="16" s="1"/>
  <c r="G21" i="16" s="1"/>
  <c r="G20" i="16" s="1"/>
  <c r="G45" i="16"/>
  <c r="G44" i="16"/>
  <c r="G16" i="16"/>
  <c r="G15" i="16"/>
  <c r="G14" i="16" s="1"/>
  <c r="G237" i="16"/>
  <c r="G54" i="13"/>
  <c r="G248" i="16"/>
  <c r="G133" i="16"/>
  <c r="G132" i="16"/>
  <c r="G131" i="16" s="1"/>
  <c r="G135" i="16"/>
  <c r="G134" i="16" s="1"/>
  <c r="G233" i="13"/>
  <c r="G232" i="13" s="1"/>
  <c r="G295" i="13"/>
  <c r="G292" i="13"/>
  <c r="G234" i="13"/>
  <c r="G195" i="13"/>
  <c r="G286" i="13"/>
  <c r="G285" i="13"/>
  <c r="G284" i="13" s="1"/>
  <c r="G283" i="13"/>
  <c r="G282" i="13" s="1"/>
  <c r="D42" i="14" s="1"/>
  <c r="G154" i="13"/>
  <c r="G152" i="13"/>
  <c r="G49" i="13"/>
  <c r="H49" i="13"/>
  <c r="I49" i="13"/>
  <c r="I217" i="13"/>
  <c r="H217" i="13"/>
  <c r="G217" i="13"/>
  <c r="I216" i="13"/>
  <c r="H216" i="13"/>
  <c r="H215" i="13" s="1"/>
  <c r="H214" i="13"/>
  <c r="H213" i="13" s="1"/>
  <c r="G216" i="13"/>
  <c r="I215" i="13"/>
  <c r="G215" i="13"/>
  <c r="G214" i="13" s="1"/>
  <c r="G213" i="13"/>
  <c r="I214" i="13"/>
  <c r="I213" i="13"/>
  <c r="G197" i="13"/>
  <c r="G196" i="13"/>
  <c r="I292" i="16"/>
  <c r="I291" i="16"/>
  <c r="I290" i="16" s="1"/>
  <c r="H292" i="16"/>
  <c r="G292" i="16"/>
  <c r="G291" i="16"/>
  <c r="G290" i="16" s="1"/>
  <c r="H291" i="16"/>
  <c r="H290" i="16" s="1"/>
  <c r="I316" i="13"/>
  <c r="I315" i="13" s="1"/>
  <c r="I314" i="13"/>
  <c r="H316" i="13"/>
  <c r="H315" i="13"/>
  <c r="H314" i="13" s="1"/>
  <c r="H313" i="13" s="1"/>
  <c r="G316" i="13"/>
  <c r="G315" i="13"/>
  <c r="G314" i="13" s="1"/>
  <c r="G217" i="16"/>
  <c r="I215" i="16"/>
  <c r="I214" i="16"/>
  <c r="I213" i="16" s="1"/>
  <c r="I212" i="16" s="1"/>
  <c r="I211" i="16" s="1"/>
  <c r="H215" i="16"/>
  <c r="H214" i="16" s="1"/>
  <c r="H213" i="16" s="1"/>
  <c r="H212" i="16" s="1"/>
  <c r="H211" i="16" s="1"/>
  <c r="G215" i="16"/>
  <c r="G81" i="13"/>
  <c r="G285" i="16"/>
  <c r="G302" i="13"/>
  <c r="G268" i="16"/>
  <c r="G252" i="13"/>
  <c r="G251" i="13" s="1"/>
  <c r="G98" i="16"/>
  <c r="G129" i="13"/>
  <c r="I92" i="16"/>
  <c r="H92" i="16"/>
  <c r="G92" i="16"/>
  <c r="I90" i="16"/>
  <c r="H90" i="16"/>
  <c r="G90" i="16"/>
  <c r="G148" i="13"/>
  <c r="G246" i="16"/>
  <c r="G245" i="16" s="1"/>
  <c r="G240" i="16"/>
  <c r="G157" i="13"/>
  <c r="G81" i="16"/>
  <c r="G80" i="16" s="1"/>
  <c r="G79" i="16"/>
  <c r="G78" i="16" s="1"/>
  <c r="H50" i="16"/>
  <c r="H49" i="16" s="1"/>
  <c r="H48" i="16"/>
  <c r="H47" i="16" s="1"/>
  <c r="I50" i="16"/>
  <c r="I49" i="16" s="1"/>
  <c r="I48" i="16"/>
  <c r="I47" i="16" s="1"/>
  <c r="G49" i="16"/>
  <c r="G48" i="16" s="1"/>
  <c r="G47" i="16"/>
  <c r="H44" i="16"/>
  <c r="H43" i="16"/>
  <c r="H42" i="16" s="1"/>
  <c r="H41" i="16" s="1"/>
  <c r="I44" i="16"/>
  <c r="I43" i="16"/>
  <c r="I42" i="16" s="1"/>
  <c r="I41" i="16"/>
  <c r="H38" i="16"/>
  <c r="H37" i="16"/>
  <c r="H36" i="16" s="1"/>
  <c r="H35" i="16" s="1"/>
  <c r="I38" i="16"/>
  <c r="I37" i="16" s="1"/>
  <c r="I36" i="16" s="1"/>
  <c r="I35" i="16" s="1"/>
  <c r="G37" i="16"/>
  <c r="G36" i="16" s="1"/>
  <c r="G35" i="16" s="1"/>
  <c r="I239" i="13"/>
  <c r="H239" i="13"/>
  <c r="I233" i="13"/>
  <c r="H233" i="13"/>
  <c r="G231" i="13"/>
  <c r="G230" i="13" s="1"/>
  <c r="H225" i="13"/>
  <c r="I225" i="13"/>
  <c r="I268" i="13"/>
  <c r="H268" i="13"/>
  <c r="H267" i="13"/>
  <c r="H266" i="13" s="1"/>
  <c r="H265" i="13"/>
  <c r="I264" i="13"/>
  <c r="I262" i="13"/>
  <c r="H264" i="13"/>
  <c r="H262" i="13"/>
  <c r="H261" i="13" s="1"/>
  <c r="H122" i="16"/>
  <c r="H121" i="16" s="1"/>
  <c r="H120" i="16"/>
  <c r="I122" i="16"/>
  <c r="H234" i="16"/>
  <c r="H233" i="16" s="1"/>
  <c r="H232" i="16" s="1"/>
  <c r="H231" i="16" s="1"/>
  <c r="I234" i="16"/>
  <c r="I233" i="16" s="1"/>
  <c r="I232" i="16" s="1"/>
  <c r="I231" i="16" s="1"/>
  <c r="H238" i="16"/>
  <c r="I238" i="16"/>
  <c r="H236" i="16"/>
  <c r="I236" i="16"/>
  <c r="G236" i="16"/>
  <c r="G238" i="16"/>
  <c r="H283" i="16"/>
  <c r="H282" i="16" s="1"/>
  <c r="H281" i="16" s="1"/>
  <c r="H280" i="16" s="1"/>
  <c r="H279" i="16" s="1"/>
  <c r="I283" i="16"/>
  <c r="I282" i="16"/>
  <c r="I281" i="16" s="1"/>
  <c r="I280" i="16" s="1"/>
  <c r="I279" i="16" s="1"/>
  <c r="G283" i="16"/>
  <c r="G282" i="16" s="1"/>
  <c r="G281" i="16" s="1"/>
  <c r="G280" i="16" s="1"/>
  <c r="G279" i="16" s="1"/>
  <c r="H277" i="16"/>
  <c r="H276" i="16"/>
  <c r="H275" i="16" s="1"/>
  <c r="H274" i="16" s="1"/>
  <c r="H273" i="16" s="1"/>
  <c r="H272" i="16" s="1"/>
  <c r="I277" i="16"/>
  <c r="I276" i="16"/>
  <c r="I275" i="16" s="1"/>
  <c r="I274" i="16" s="1"/>
  <c r="I273" i="16" s="1"/>
  <c r="I272" i="16"/>
  <c r="G277" i="16"/>
  <c r="G276" i="16"/>
  <c r="G275" i="16" s="1"/>
  <c r="G274" i="16" s="1"/>
  <c r="G273" i="16" s="1"/>
  <c r="G272" i="16" s="1"/>
  <c r="H223" i="16"/>
  <c r="H222" i="16"/>
  <c r="H221" i="16" s="1"/>
  <c r="H220" i="16" s="1"/>
  <c r="H219" i="16" s="1"/>
  <c r="H218" i="16"/>
  <c r="I223" i="16"/>
  <c r="I222" i="16"/>
  <c r="I221" i="16" s="1"/>
  <c r="I220" i="16" s="1"/>
  <c r="I219" i="16" s="1"/>
  <c r="I218" i="16" s="1"/>
  <c r="G223" i="16"/>
  <c r="G222" i="16"/>
  <c r="G221" i="16" s="1"/>
  <c r="G220" i="16" s="1"/>
  <c r="G219" i="16" s="1"/>
  <c r="G218" i="16"/>
  <c r="H190" i="16"/>
  <c r="I190" i="16"/>
  <c r="H193" i="16"/>
  <c r="I193" i="16"/>
  <c r="G193" i="16"/>
  <c r="H195" i="16"/>
  <c r="I195" i="16"/>
  <c r="G195" i="16"/>
  <c r="H197" i="16"/>
  <c r="I197" i="16"/>
  <c r="H199" i="16"/>
  <c r="I199" i="16"/>
  <c r="G199" i="16"/>
  <c r="H201" i="16"/>
  <c r="I201" i="16"/>
  <c r="G201" i="16"/>
  <c r="H203" i="16"/>
  <c r="I203" i="16"/>
  <c r="G203" i="16"/>
  <c r="H205" i="16"/>
  <c r="I205" i="16"/>
  <c r="G205" i="16"/>
  <c r="H207" i="16"/>
  <c r="I207" i="16"/>
  <c r="G207" i="16"/>
  <c r="H209" i="16"/>
  <c r="I209" i="16"/>
  <c r="G209" i="16"/>
  <c r="H184" i="16"/>
  <c r="H183" i="16"/>
  <c r="H182" i="16" s="1"/>
  <c r="H181" i="16" s="1"/>
  <c r="H180" i="16" s="1"/>
  <c r="I184" i="16"/>
  <c r="I183" i="16" s="1"/>
  <c r="I182" i="16" s="1"/>
  <c r="I181" i="16"/>
  <c r="I180" i="16" s="1"/>
  <c r="G184" i="16"/>
  <c r="G183" i="16" s="1"/>
  <c r="G182" i="16"/>
  <c r="G181" i="16" s="1"/>
  <c r="G180" i="16" s="1"/>
  <c r="H171" i="16"/>
  <c r="I171" i="16"/>
  <c r="H169" i="16"/>
  <c r="H168" i="16"/>
  <c r="I169" i="16"/>
  <c r="I168" i="16"/>
  <c r="G169" i="16"/>
  <c r="G168" i="16"/>
  <c r="G163" i="16" s="1"/>
  <c r="G162" i="16"/>
  <c r="H158" i="16"/>
  <c r="I158" i="16"/>
  <c r="G158" i="16"/>
  <c r="H160" i="16"/>
  <c r="I160" i="16"/>
  <c r="G160" i="16"/>
  <c r="H127" i="16"/>
  <c r="I127" i="16"/>
  <c r="H124" i="16"/>
  <c r="H123" i="16"/>
  <c r="I124" i="16"/>
  <c r="I123" i="16"/>
  <c r="G124" i="16"/>
  <c r="G123" i="16"/>
  <c r="H129" i="16"/>
  <c r="I129" i="16"/>
  <c r="G129" i="16"/>
  <c r="H132" i="16"/>
  <c r="H131" i="16" s="1"/>
  <c r="I132" i="16"/>
  <c r="I131" i="16" s="1"/>
  <c r="H135" i="16"/>
  <c r="H134" i="16" s="1"/>
  <c r="I135" i="16"/>
  <c r="I134" i="16" s="1"/>
  <c r="H118" i="16"/>
  <c r="H117" i="16" s="1"/>
  <c r="I118" i="16"/>
  <c r="I117" i="16"/>
  <c r="H115" i="16"/>
  <c r="I115" i="16"/>
  <c r="H114" i="16"/>
  <c r="H113" i="16" s="1"/>
  <c r="H112" i="16" s="1"/>
  <c r="H111" i="16" s="1"/>
  <c r="I114" i="16"/>
  <c r="G115" i="16"/>
  <c r="G114" i="16" s="1"/>
  <c r="H107" i="16"/>
  <c r="I107" i="16"/>
  <c r="H109" i="16"/>
  <c r="I109" i="16"/>
  <c r="G109" i="16"/>
  <c r="G107" i="16"/>
  <c r="G100" i="16"/>
  <c r="H76" i="16"/>
  <c r="H75" i="16"/>
  <c r="H74" i="16" s="1"/>
  <c r="I76" i="16"/>
  <c r="I75" i="16" s="1"/>
  <c r="I74" i="16" s="1"/>
  <c r="G76" i="16"/>
  <c r="G75" i="16"/>
  <c r="G74" i="16" s="1"/>
  <c r="H80" i="16"/>
  <c r="H79" i="16" s="1"/>
  <c r="H78" i="16" s="1"/>
  <c r="I80" i="16"/>
  <c r="I79" i="16"/>
  <c r="I78" i="16" s="1"/>
  <c r="H86" i="16"/>
  <c r="H85" i="16" s="1"/>
  <c r="H84" i="16" s="1"/>
  <c r="I86" i="16"/>
  <c r="I85" i="16"/>
  <c r="I84" i="16" s="1"/>
  <c r="G86" i="16"/>
  <c r="G85" i="16" s="1"/>
  <c r="G84" i="16" s="1"/>
  <c r="H25" i="16"/>
  <c r="H24" i="16"/>
  <c r="H23" i="16" s="1"/>
  <c r="H22" i="16"/>
  <c r="H21" i="16" s="1"/>
  <c r="H20" i="16" s="1"/>
  <c r="I25" i="16"/>
  <c r="I24" i="16"/>
  <c r="I23" i="16" s="1"/>
  <c r="I22" i="16"/>
  <c r="I21" i="16" s="1"/>
  <c r="I20" i="16" s="1"/>
  <c r="H69" i="16"/>
  <c r="H68" i="16"/>
  <c r="H67" i="16" s="1"/>
  <c r="H66" i="16"/>
  <c r="H65" i="16" s="1"/>
  <c r="H64" i="16" s="1"/>
  <c r="I69" i="16"/>
  <c r="I68" i="16"/>
  <c r="I67" i="16" s="1"/>
  <c r="I66" i="16"/>
  <c r="I65" i="16" s="1"/>
  <c r="I64" i="16" s="1"/>
  <c r="G69" i="16"/>
  <c r="G68" i="16"/>
  <c r="G67" i="16" s="1"/>
  <c r="G66" i="16"/>
  <c r="G65" i="16" s="1"/>
  <c r="G64" i="16" s="1"/>
  <c r="H61" i="16"/>
  <c r="H60" i="16"/>
  <c r="H59" i="16" s="1"/>
  <c r="H54" i="16"/>
  <c r="H53" i="16" s="1"/>
  <c r="I61" i="16"/>
  <c r="I60" i="16" s="1"/>
  <c r="I59" i="16"/>
  <c r="I54" i="16" s="1"/>
  <c r="I53" i="16" s="1"/>
  <c r="H57" i="16"/>
  <c r="I57" i="16"/>
  <c r="G57" i="16"/>
  <c r="G56" i="16"/>
  <c r="G55" i="16" s="1"/>
  <c r="G54" i="16"/>
  <c r="G53" i="16" s="1"/>
  <c r="H31" i="16"/>
  <c r="H30" i="16" s="1"/>
  <c r="H29" i="16"/>
  <c r="H28" i="16" s="1"/>
  <c r="I31" i="16"/>
  <c r="I30" i="16" s="1"/>
  <c r="I29" i="16"/>
  <c r="I28" i="16" s="1"/>
  <c r="G31" i="16"/>
  <c r="G30" i="16" s="1"/>
  <c r="G29" i="16"/>
  <c r="G28" i="16" s="1"/>
  <c r="I301" i="13"/>
  <c r="I300" i="13" s="1"/>
  <c r="I299" i="13"/>
  <c r="I298" i="13" s="1"/>
  <c r="I297" i="13" s="1"/>
  <c r="H301" i="13"/>
  <c r="H300" i="13"/>
  <c r="H299" i="13" s="1"/>
  <c r="H298" i="13"/>
  <c r="H297" i="13" s="1"/>
  <c r="I164" i="13"/>
  <c r="I106" i="16"/>
  <c r="I105" i="16"/>
  <c r="I104" i="16" s="1"/>
  <c r="I103" i="16"/>
  <c r="I121" i="16"/>
  <c r="I120" i="16" s="1"/>
  <c r="G131" i="13"/>
  <c r="G128" i="13" s="1"/>
  <c r="G127" i="13" s="1"/>
  <c r="G126" i="13" s="1"/>
  <c r="E27" i="14"/>
  <c r="F27" i="14"/>
  <c r="D27" i="14"/>
  <c r="E31" i="14"/>
  <c r="I296" i="13"/>
  <c r="I295" i="13" s="1"/>
  <c r="H296" i="13"/>
  <c r="H295" i="13" s="1"/>
  <c r="H294" i="13"/>
  <c r="G300" i="13"/>
  <c r="G299" i="13"/>
  <c r="G298" i="13" s="1"/>
  <c r="G297" i="13" s="1"/>
  <c r="G280" i="13"/>
  <c r="G279" i="13" s="1"/>
  <c r="G278" i="13" s="1"/>
  <c r="G277" i="13" s="1"/>
  <c r="G276" i="13" s="1"/>
  <c r="I235" i="13"/>
  <c r="H235" i="13"/>
  <c r="I241" i="13"/>
  <c r="I238" i="13"/>
  <c r="I237" i="13" s="1"/>
  <c r="H241" i="13"/>
  <c r="G238" i="13"/>
  <c r="G237" i="13"/>
  <c r="G236" i="13" s="1"/>
  <c r="H246" i="13"/>
  <c r="I246" i="13"/>
  <c r="I244" i="13"/>
  <c r="G246" i="13"/>
  <c r="I227" i="13"/>
  <c r="H227" i="13"/>
  <c r="H148" i="13"/>
  <c r="H145" i="13" s="1"/>
  <c r="H144" i="13" s="1"/>
  <c r="I148" i="13"/>
  <c r="I145" i="13" s="1"/>
  <c r="I144" i="13" s="1"/>
  <c r="G145" i="13"/>
  <c r="G144" i="13" s="1"/>
  <c r="G143" i="13" s="1"/>
  <c r="I197" i="13"/>
  <c r="I196" i="13" s="1"/>
  <c r="H197" i="13"/>
  <c r="H196" i="13" s="1"/>
  <c r="G194" i="13"/>
  <c r="H194" i="13"/>
  <c r="I194" i="13"/>
  <c r="G193" i="13"/>
  <c r="H193" i="13"/>
  <c r="I193" i="13"/>
  <c r="H191" i="13"/>
  <c r="H188" i="13" s="1"/>
  <c r="I191" i="13"/>
  <c r="I188" i="13" s="1"/>
  <c r="G191" i="13"/>
  <c r="G188" i="13" s="1"/>
  <c r="I186" i="13"/>
  <c r="H186" i="13"/>
  <c r="H185" i="13"/>
  <c r="H163" i="13"/>
  <c r="G107" i="13"/>
  <c r="G106" i="13" s="1"/>
  <c r="G136" i="13"/>
  <c r="H136" i="13"/>
  <c r="I136" i="13"/>
  <c r="G94" i="13"/>
  <c r="G93" i="13"/>
  <c r="G92" i="13" s="1"/>
  <c r="G91" i="13" s="1"/>
  <c r="G90" i="13" s="1"/>
  <c r="G89" i="13" s="1"/>
  <c r="D28" i="14" s="1"/>
  <c r="I93" i="13"/>
  <c r="I92" i="13" s="1"/>
  <c r="I91" i="13" s="1"/>
  <c r="I90" i="13" s="1"/>
  <c r="I89" i="13" s="1"/>
  <c r="F28" i="14" s="1"/>
  <c r="F26" i="14" s="1"/>
  <c r="H93" i="13"/>
  <c r="H92" i="13" s="1"/>
  <c r="H91" i="13" s="1"/>
  <c r="H90" i="13" s="1"/>
  <c r="H89" i="13" s="1"/>
  <c r="E28" i="14" s="1"/>
  <c r="E26" i="14" s="1"/>
  <c r="G71" i="13"/>
  <c r="H59" i="13"/>
  <c r="I59" i="13"/>
  <c r="G59" i="13"/>
  <c r="G57" i="13"/>
  <c r="H54" i="13"/>
  <c r="I54" i="13"/>
  <c r="I31" i="13"/>
  <c r="I30" i="13" s="1"/>
  <c r="H31" i="13"/>
  <c r="H30" i="13" s="1"/>
  <c r="H27" i="13" s="1"/>
  <c r="H17" i="13"/>
  <c r="I17" i="13"/>
  <c r="G17" i="13"/>
  <c r="I280" i="13"/>
  <c r="I279" i="13"/>
  <c r="I278" i="13" s="1"/>
  <c r="I277" i="13" s="1"/>
  <c r="I276" i="13" s="1"/>
  <c r="F41" i="14" s="1"/>
  <c r="I273" i="13"/>
  <c r="I272" i="13" s="1"/>
  <c r="I271" i="13" s="1"/>
  <c r="I270" i="13" s="1"/>
  <c r="I267" i="13"/>
  <c r="I266" i="13" s="1"/>
  <c r="I265" i="13" s="1"/>
  <c r="I263" i="13"/>
  <c r="I228" i="13"/>
  <c r="I189" i="13"/>
  <c r="I185" i="13"/>
  <c r="I166" i="13"/>
  <c r="I165" i="13"/>
  <c r="I163" i="13"/>
  <c r="I155" i="13"/>
  <c r="I154" i="13"/>
  <c r="I153" i="13"/>
  <c r="I146" i="13"/>
  <c r="I140" i="13"/>
  <c r="I139" i="13" s="1"/>
  <c r="I138" i="13" s="1"/>
  <c r="I135" i="13" s="1"/>
  <c r="I134" i="13" s="1"/>
  <c r="I133" i="13" s="1"/>
  <c r="I124" i="13"/>
  <c r="I122" i="13"/>
  <c r="I118" i="13"/>
  <c r="I112" i="13"/>
  <c r="I111" i="13"/>
  <c r="I110" i="13" s="1"/>
  <c r="I108" i="13"/>
  <c r="I107" i="13"/>
  <c r="I106" i="13"/>
  <c r="I87" i="13"/>
  <c r="I86" i="13"/>
  <c r="I85" i="13" s="1"/>
  <c r="I84" i="13" s="1"/>
  <c r="I83" i="13" s="1"/>
  <c r="I82" i="13" s="1"/>
  <c r="I79" i="13"/>
  <c r="I78" i="13"/>
  <c r="I77" i="13" s="1"/>
  <c r="I76" i="13" s="1"/>
  <c r="I75" i="13" s="1"/>
  <c r="I73" i="13"/>
  <c r="I71" i="13"/>
  <c r="I69" i="13"/>
  <c r="I67" i="13"/>
  <c r="I65" i="13"/>
  <c r="I63" i="13"/>
  <c r="I61" i="13"/>
  <c r="I57" i="13"/>
  <c r="I48" i="13"/>
  <c r="I47" i="13" s="1"/>
  <c r="I43" i="13"/>
  <c r="I42" i="13" s="1"/>
  <c r="I41" i="13"/>
  <c r="I40" i="13" s="1"/>
  <c r="I39" i="13" s="1"/>
  <c r="F18" i="14" s="1"/>
  <c r="I28" i="13"/>
  <c r="I27" i="13" s="1"/>
  <c r="I25" i="13"/>
  <c r="I23" i="13"/>
  <c r="I22" i="13" s="1"/>
  <c r="I19" i="13"/>
  <c r="I16" i="13"/>
  <c r="I15" i="13" s="1"/>
  <c r="I14" i="13" s="1"/>
  <c r="H280" i="13"/>
  <c r="H279" i="13" s="1"/>
  <c r="H278" i="13" s="1"/>
  <c r="H277" i="13" s="1"/>
  <c r="H276" i="13" s="1"/>
  <c r="H273" i="13"/>
  <c r="H272" i="13"/>
  <c r="H271" i="13" s="1"/>
  <c r="H270" i="13" s="1"/>
  <c r="H259" i="13" s="1"/>
  <c r="H263" i="13"/>
  <c r="H228" i="13"/>
  <c r="H189" i="13"/>
  <c r="H166" i="13"/>
  <c r="H165" i="13" s="1"/>
  <c r="H155" i="13"/>
  <c r="H154" i="13"/>
  <c r="H153" i="13"/>
  <c r="H146" i="13"/>
  <c r="H140" i="13"/>
  <c r="H139" i="13" s="1"/>
  <c r="H138" i="13" s="1"/>
  <c r="H135" i="13" s="1"/>
  <c r="H134" i="13" s="1"/>
  <c r="H133" i="13" s="1"/>
  <c r="H124" i="13"/>
  <c r="H122" i="13"/>
  <c r="H118" i="13"/>
  <c r="H112" i="13"/>
  <c r="H111" i="13"/>
  <c r="H110" i="13" s="1"/>
  <c r="H108" i="13"/>
  <c r="H107" i="13"/>
  <c r="H106" i="13"/>
  <c r="H87" i="13"/>
  <c r="H79" i="13"/>
  <c r="H78" i="13" s="1"/>
  <c r="H77" i="13" s="1"/>
  <c r="H76" i="13" s="1"/>
  <c r="H75" i="13" s="1"/>
  <c r="H73" i="13"/>
  <c r="H71" i="13"/>
  <c r="H69" i="13"/>
  <c r="H67" i="13"/>
  <c r="H65" i="13"/>
  <c r="H63" i="13"/>
  <c r="H61" i="13"/>
  <c r="H57" i="13"/>
  <c r="H48" i="13"/>
  <c r="H47" i="13"/>
  <c r="H43" i="13"/>
  <c r="H42" i="13"/>
  <c r="H41" i="13"/>
  <c r="H40" i="13"/>
  <c r="H39" i="13" s="1"/>
  <c r="E18" i="14" s="1"/>
  <c r="H28" i="13"/>
  <c r="H25" i="13"/>
  <c r="H23" i="13"/>
  <c r="H24" i="13" s="1"/>
  <c r="H19" i="13"/>
  <c r="H16" i="13"/>
  <c r="H15" i="13" s="1"/>
  <c r="H14" i="13" s="1"/>
  <c r="G267" i="13"/>
  <c r="G266" i="13"/>
  <c r="G265" i="13" s="1"/>
  <c r="G151" i="13"/>
  <c r="G150" i="13" s="1"/>
  <c r="G140" i="13"/>
  <c r="G139" i="13" s="1"/>
  <c r="G138" i="13" s="1"/>
  <c r="G135" i="13" s="1"/>
  <c r="G134" i="13"/>
  <c r="G133" i="13" s="1"/>
  <c r="D31" i="14" s="1"/>
  <c r="G273" i="13"/>
  <c r="G272" i="13"/>
  <c r="G271" i="13" s="1"/>
  <c r="G270" i="13"/>
  <c r="G166" i="13"/>
  <c r="G165" i="13"/>
  <c r="G263" i="13"/>
  <c r="G63" i="13"/>
  <c r="G48" i="13"/>
  <c r="G47" i="13"/>
  <c r="G293" i="13"/>
  <c r="G291" i="13" s="1"/>
  <c r="G124" i="13"/>
  <c r="G122" i="13"/>
  <c r="G121" i="13" s="1"/>
  <c r="G61" i="13"/>
  <c r="G228" i="13"/>
  <c r="G117" i="13"/>
  <c r="G116" i="13"/>
  <c r="G79" i="13"/>
  <c r="G78" i="13"/>
  <c r="G77" i="13" s="1"/>
  <c r="G76" i="13"/>
  <c r="G75" i="13" s="1"/>
  <c r="D25" i="14" s="1"/>
  <c r="D24" i="14" s="1"/>
  <c r="F24" i="14"/>
  <c r="E24" i="14" s="1"/>
  <c r="G185" i="13"/>
  <c r="G87" i="13"/>
  <c r="G146" i="13"/>
  <c r="G25" i="13"/>
  <c r="G23" i="13" s="1"/>
  <c r="G19" i="13"/>
  <c r="G16" i="13" s="1"/>
  <c r="G15" i="13"/>
  <c r="G14" i="13" s="1"/>
  <c r="D15" i="14" s="1"/>
  <c r="G41" i="13"/>
  <c r="G40" i="13"/>
  <c r="G39" i="13" s="1"/>
  <c r="D18" i="14"/>
  <c r="G65" i="13"/>
  <c r="G73" i="13"/>
  <c r="G69" i="13"/>
  <c r="G108" i="13"/>
  <c r="G43" i="13"/>
  <c r="G42" i="13"/>
  <c r="G155" i="13"/>
  <c r="G86" i="13"/>
  <c r="G85" i="13" s="1"/>
  <c r="G84" i="13" s="1"/>
  <c r="G83" i="13" s="1"/>
  <c r="G82" i="13" s="1"/>
  <c r="G245" i="13"/>
  <c r="H245" i="13"/>
  <c r="I117" i="13"/>
  <c r="I116" i="13"/>
  <c r="I152" i="13"/>
  <c r="I151" i="13"/>
  <c r="I150" i="13" s="1"/>
  <c r="I236" i="13"/>
  <c r="G244" i="13"/>
  <c r="I245" i="13"/>
  <c r="G118" i="13"/>
  <c r="G294" i="13"/>
  <c r="H86" i="13"/>
  <c r="H85" i="13"/>
  <c r="H84" i="13" s="1"/>
  <c r="H83" i="13"/>
  <c r="H82" i="13" s="1"/>
  <c r="H117" i="13"/>
  <c r="H116" i="13" s="1"/>
  <c r="H121" i="13"/>
  <c r="H120" i="13" s="1"/>
  <c r="H152" i="13"/>
  <c r="H151" i="13" s="1"/>
  <c r="H150" i="13"/>
  <c r="G262" i="13"/>
  <c r="G261" i="13"/>
  <c r="G260" i="13" s="1"/>
  <c r="H162" i="13"/>
  <c r="H161" i="13"/>
  <c r="I162" i="13"/>
  <c r="I161" i="13" s="1"/>
  <c r="I261" i="13"/>
  <c r="I184" i="13"/>
  <c r="I182" i="13" s="1"/>
  <c r="I181" i="13" s="1"/>
  <c r="H184" i="13"/>
  <c r="H182" i="13" s="1"/>
  <c r="H244" i="13"/>
  <c r="G120" i="13"/>
  <c r="I126" i="16"/>
  <c r="H89" i="16"/>
  <c r="H88" i="16"/>
  <c r="G97" i="16"/>
  <c r="G96" i="16"/>
  <c r="G95" i="16" s="1"/>
  <c r="G94" i="16"/>
  <c r="I157" i="16"/>
  <c r="I156" i="16"/>
  <c r="I155" i="16" s="1"/>
  <c r="H46" i="13"/>
  <c r="H224" i="13"/>
  <c r="H223" i="13"/>
  <c r="H222" i="13" s="1"/>
  <c r="H232" i="13"/>
  <c r="H231" i="13" s="1"/>
  <c r="H230" i="13" s="1"/>
  <c r="H221" i="13" s="1"/>
  <c r="I24" i="13"/>
  <c r="H312" i="13"/>
  <c r="H311" i="13"/>
  <c r="E46" i="14" s="1"/>
  <c r="E45" i="14" s="1"/>
  <c r="G157" i="16"/>
  <c r="G156" i="16"/>
  <c r="G155" i="16" s="1"/>
  <c r="H157" i="16"/>
  <c r="H156" i="16" s="1"/>
  <c r="H155" i="16"/>
  <c r="G122" i="16"/>
  <c r="G121" i="16"/>
  <c r="G120" i="16" s="1"/>
  <c r="G267" i="16"/>
  <c r="G214" i="16"/>
  <c r="G213" i="16"/>
  <c r="G212" i="16" s="1"/>
  <c r="G211" i="16"/>
  <c r="G190" i="16"/>
  <c r="G43" i="16"/>
  <c r="G42" i="16" s="1"/>
  <c r="G41" i="16" s="1"/>
  <c r="G34" i="16" s="1"/>
  <c r="G33" i="16" s="1"/>
  <c r="G27" i="16" s="1"/>
  <c r="G259" i="16"/>
  <c r="G258" i="16"/>
  <c r="G257" i="16" s="1"/>
  <c r="G235" i="16"/>
  <c r="G234" i="16" s="1"/>
  <c r="G233" i="16" s="1"/>
  <c r="G232" i="16" s="1"/>
  <c r="G231" i="16" s="1"/>
  <c r="H189" i="16"/>
  <c r="H188" i="16" s="1"/>
  <c r="H187" i="16" s="1"/>
  <c r="H186" i="16" s="1"/>
  <c r="G189" i="16"/>
  <c r="G188" i="16" s="1"/>
  <c r="G187" i="16" s="1"/>
  <c r="G186" i="16" s="1"/>
  <c r="G126" i="16"/>
  <c r="G106" i="16"/>
  <c r="G105" i="16"/>
  <c r="G104" i="16" s="1"/>
  <c r="G103" i="16" s="1"/>
  <c r="G102" i="16" s="1"/>
  <c r="H126" i="16"/>
  <c r="I189" i="16"/>
  <c r="I188" i="16" s="1"/>
  <c r="I187" i="16"/>
  <c r="I186" i="16" s="1"/>
  <c r="I89" i="16"/>
  <c r="I88" i="16" s="1"/>
  <c r="H288" i="16"/>
  <c r="H287" i="16" s="1"/>
  <c r="H289" i="16"/>
  <c r="H181" i="13"/>
  <c r="E35" i="14" s="1"/>
  <c r="H183" i="13"/>
  <c r="F35" i="14"/>
  <c r="I21" i="13"/>
  <c r="F16" i="14" s="1"/>
  <c r="H238" i="13"/>
  <c r="H237" i="13" s="1"/>
  <c r="H236" i="13"/>
  <c r="H293" i="13"/>
  <c r="H291" i="13"/>
  <c r="I46" i="13"/>
  <c r="H105" i="13"/>
  <c r="H97" i="13" s="1"/>
  <c r="I121" i="13"/>
  <c r="I120" i="13" s="1"/>
  <c r="I105" i="13" s="1"/>
  <c r="I97" i="13" s="1"/>
  <c r="I183" i="13"/>
  <c r="I52" i="13"/>
  <c r="I224" i="13"/>
  <c r="I223" i="13" s="1"/>
  <c r="I222" i="13" s="1"/>
  <c r="I221" i="13" s="1"/>
  <c r="I220" i="13" s="1"/>
  <c r="I232" i="13"/>
  <c r="I231" i="13"/>
  <c r="I230" i="13" s="1"/>
  <c r="E15" i="14"/>
  <c r="E30" i="14"/>
  <c r="E29" i="14" s="1"/>
  <c r="H96" i="13"/>
  <c r="I275" i="13"/>
  <c r="F40" i="14"/>
  <c r="I159" i="13"/>
  <c r="F34" i="14" s="1"/>
  <c r="I160" i="13"/>
  <c r="E39" i="14"/>
  <c r="H260" i="13"/>
  <c r="E41" i="14"/>
  <c r="E40" i="14" s="1"/>
  <c r="H275" i="13"/>
  <c r="H143" i="13"/>
  <c r="I292" i="13"/>
  <c r="I294" i="13"/>
  <c r="I313" i="13"/>
  <c r="I312" i="13"/>
  <c r="I311" i="13" s="1"/>
  <c r="F46" i="14" s="1"/>
  <c r="F45" i="14" s="1"/>
  <c r="H52" i="13"/>
  <c r="H51" i="13" s="1"/>
  <c r="H45" i="13" s="1"/>
  <c r="E23" i="14" s="1"/>
  <c r="D26" i="14"/>
  <c r="I293" i="13"/>
  <c r="I291" i="13" s="1"/>
  <c r="I290" i="13" s="1"/>
  <c r="H292" i="13"/>
  <c r="G153" i="13"/>
  <c r="I51" i="13"/>
  <c r="I53" i="13"/>
  <c r="H53" i="13"/>
  <c r="F44" i="14"/>
  <c r="F43" i="14" s="1"/>
  <c r="G142" i="13"/>
  <c r="D33" i="14" s="1"/>
  <c r="G89" i="16"/>
  <c r="G88" i="16" s="1"/>
  <c r="G141" i="16"/>
  <c r="G244" i="16"/>
  <c r="G243" i="16"/>
  <c r="G242" i="16" s="1"/>
  <c r="H73" i="16"/>
  <c r="H72" i="16" s="1"/>
  <c r="H71" i="16" s="1"/>
  <c r="I34" i="16"/>
  <c r="I33" i="16"/>
  <c r="I27" i="16" s="1"/>
  <c r="G288" i="16"/>
  <c r="G287" i="16" s="1"/>
  <c r="G289" i="16"/>
  <c r="I288" i="16"/>
  <c r="I287" i="16"/>
  <c r="I289" i="16"/>
  <c r="G12" i="16"/>
  <c r="G13" i="16"/>
  <c r="I154" i="16"/>
  <c r="I73" i="16"/>
  <c r="I72" i="16" s="1"/>
  <c r="I71" i="16" s="1"/>
  <c r="G73" i="16"/>
  <c r="G72" i="16" s="1"/>
  <c r="G71" i="16"/>
  <c r="G113" i="16"/>
  <c r="G112" i="16"/>
  <c r="G111" i="16" s="1"/>
  <c r="G249" i="13"/>
  <c r="G250" i="13"/>
  <c r="G168" i="13"/>
  <c r="G159" i="13" s="1"/>
  <c r="D44" i="14"/>
  <c r="D43" i="14" s="1"/>
  <c r="G290" i="13"/>
  <c r="G313" i="13"/>
  <c r="G312" i="13"/>
  <c r="G311" i="13" s="1"/>
  <c r="D46" i="14"/>
  <c r="D45" i="14" s="1"/>
  <c r="G259" i="13"/>
  <c r="D39" i="14" s="1"/>
  <c r="G161" i="13"/>
  <c r="G160" i="13" s="1"/>
  <c r="D34" i="14" l="1"/>
  <c r="I96" i="13"/>
  <c r="F30" i="14"/>
  <c r="F29" i="14" s="1"/>
  <c r="F38" i="14"/>
  <c r="E44" i="14"/>
  <c r="E43" i="14" s="1"/>
  <c r="H290" i="13"/>
  <c r="G265" i="16"/>
  <c r="G263" i="16" s="1"/>
  <c r="G266" i="16"/>
  <c r="G264" i="16" s="1"/>
  <c r="H220" i="13"/>
  <c r="G183" i="13"/>
  <c r="G184" i="13"/>
  <c r="G182" i="13" s="1"/>
  <c r="G181" i="13" s="1"/>
  <c r="D35" i="14" s="1"/>
  <c r="D32" i="14" s="1"/>
  <c r="I45" i="13"/>
  <c r="F23" i="14" s="1"/>
  <c r="G105" i="13"/>
  <c r="H142" i="13"/>
  <c r="D41" i="14"/>
  <c r="D40" i="14" s="1"/>
  <c r="G275" i="13"/>
  <c r="H154" i="16"/>
  <c r="G154" i="16"/>
  <c r="G11" i="16" s="1"/>
  <c r="I260" i="13"/>
  <c r="I259" i="13"/>
  <c r="F39" i="14" s="1"/>
  <c r="H160" i="13"/>
  <c r="H159" i="13"/>
  <c r="E34" i="14" s="1"/>
  <c r="G22" i="13"/>
  <c r="G21" i="13" s="1"/>
  <c r="G24" i="13"/>
  <c r="G46" i="13"/>
  <c r="G52" i="13"/>
  <c r="F15" i="14"/>
  <c r="F14" i="14" s="1"/>
  <c r="I13" i="13"/>
  <c r="I143" i="13"/>
  <c r="I142" i="13"/>
  <c r="H22" i="13"/>
  <c r="H21" i="13" s="1"/>
  <c r="E16" i="14" s="1"/>
  <c r="E14" i="14" s="1"/>
  <c r="G97" i="13"/>
  <c r="H106" i="16"/>
  <c r="H105" i="16" s="1"/>
  <c r="H104" i="16" s="1"/>
  <c r="H103" i="16" s="1"/>
  <c r="H102" i="16" s="1"/>
  <c r="I113" i="16"/>
  <c r="I112" i="16" s="1"/>
  <c r="I111" i="16" s="1"/>
  <c r="I102" i="16" s="1"/>
  <c r="I11" i="16" s="1"/>
  <c r="H34" i="16"/>
  <c r="H33" i="16" s="1"/>
  <c r="H27" i="16" s="1"/>
  <c r="H11" i="16" s="1"/>
  <c r="G225" i="13"/>
  <c r="G224" i="13" s="1"/>
  <c r="G223" i="13" s="1"/>
  <c r="G222" i="13" s="1"/>
  <c r="G221" i="13" s="1"/>
  <c r="G220" i="13" s="1"/>
  <c r="G219" i="13" l="1"/>
  <c r="D38" i="14"/>
  <c r="D37" i="14" s="1"/>
  <c r="D30" i="14"/>
  <c r="D29" i="14" s="1"/>
  <c r="G96" i="13"/>
  <c r="I141" i="13"/>
  <c r="F33" i="14"/>
  <c r="F32" i="14" s="1"/>
  <c r="G51" i="13"/>
  <c r="G45" i="13" s="1"/>
  <c r="D23" i="14" s="1"/>
  <c r="G53" i="13"/>
  <c r="D16" i="14"/>
  <c r="D14" i="14" s="1"/>
  <c r="D13" i="14" s="1"/>
  <c r="G13" i="13"/>
  <c r="H13" i="13"/>
  <c r="F37" i="14"/>
  <c r="G141" i="13"/>
  <c r="F13" i="14"/>
  <c r="E33" i="14"/>
  <c r="E32" i="14" s="1"/>
  <c r="E13" i="14" s="1"/>
  <c r="H141" i="13"/>
  <c r="E38" i="14"/>
  <c r="E37" i="14" s="1"/>
  <c r="H219" i="13"/>
  <c r="I219" i="13"/>
  <c r="I12" i="13" s="1"/>
  <c r="G12" i="13" l="1"/>
  <c r="H12" i="13"/>
</calcChain>
</file>

<file path=xl/sharedStrings.xml><?xml version="1.0" encoding="utf-8"?>
<sst xmlns="http://schemas.openxmlformats.org/spreadsheetml/2006/main" count="2511" uniqueCount="321">
  <si>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</si>
  <si>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</si>
  <si>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</si>
  <si>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</si>
  <si>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</si>
  <si>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</si>
  <si>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</si>
  <si>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</si>
  <si>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</si>
  <si>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</si>
  <si>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</si>
  <si>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</si>
  <si>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</si>
  <si>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</si>
  <si>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</si>
  <si>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</si>
  <si>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</si>
  <si>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</si>
  <si>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</si>
  <si>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</si>
  <si>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</si>
  <si>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</si>
  <si>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</si>
  <si>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</si>
  <si>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</si>
  <si>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</si>
  <si>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</si>
  <si>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</si>
  <si>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</si>
  <si>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</si>
  <si>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</si>
  <si>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</si>
  <si>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</si>
  <si>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</si>
  <si>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</si>
  <si>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</si>
  <si>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</si>
  <si>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</si>
  <si>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</si>
  <si>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</si>
  <si>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</si>
  <si>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</si>
  <si>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</si>
  <si>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</si>
  <si>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</si>
  <si>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</si>
  <si>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</si>
  <si>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</si>
  <si>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</si>
  <si>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</si>
  <si>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</si>
  <si>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</si>
  <si>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</si>
  <si>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</si>
  <si>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</si>
  <si>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</si>
  <si>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</si>
  <si>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</si>
  <si>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</si>
  <si>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</si>
  <si>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</si>
  <si>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</si>
  <si>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</si>
  <si>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</si>
  <si>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</si>
  <si>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</si>
  <si>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</si>
  <si>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</si>
  <si>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</si>
  <si>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</si>
  <si>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</si>
  <si>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</si>
  <si>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</si>
  <si>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</si>
  <si>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</si>
  <si>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</si>
  <si>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</si>
  <si>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</si>
  <si>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</si>
  <si>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</si>
  <si>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</si>
  <si>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</si>
  <si>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</si>
  <si>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</si>
  <si>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</si>
  <si>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</si>
  <si>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</si>
  <si>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</si>
  <si>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</si>
  <si>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</si>
  <si>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</si>
  <si>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</si>
  <si>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</si>
  <si>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</si>
  <si>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</si>
  <si>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</si>
  <si>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</si>
  <si>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</si>
  <si>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</si>
  <si>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</si>
  <si>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</si>
  <si>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</si>
  <si>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</si>
  <si>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</si>
  <si>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</si>
  <si>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</si>
  <si>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</si>
  <si>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</si>
  <si>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</si>
  <si>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</si>
  <si>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</si>
  <si>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</si>
  <si>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</si>
  <si>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</si>
  <si>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</si>
  <si>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</si>
  <si>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</si>
  <si>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</si>
  <si>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</si>
  <si>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</si>
  <si>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</si>
  <si>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</si>
  <si>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</si>
  <si>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</si>
  <si>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</si>
  <si>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</si>
  <si>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</si>
  <si>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</si>
  <si>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</si>
  <si>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</si>
  <si>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</si>
  <si>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</si>
  <si>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</si>
  <si>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</si>
  <si>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</si>
  <si>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</si>
  <si>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</si>
  <si>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</si>
  <si>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</si>
  <si>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</si>
  <si>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</si>
  <si>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</si>
  <si>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</si>
  <si>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</si>
  <si>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</si>
  <si>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</si>
  <si>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</si>
  <si>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</si>
  <si>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</si>
  <si>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</si>
  <si>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</si>
  <si>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</si>
  <si>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</si>
  <si>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</si>
  <si>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</si>
  <si>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</si>
  <si>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</si>
  <si>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</si>
  <si>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</si>
  <si>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</si>
  <si>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</si>
  <si>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</si>
  <si>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</si>
  <si>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</si>
  <si>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</si>
  <si>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</si>
  <si>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</si>
  <si>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</si>
  <si>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</si>
  <si>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</si>
  <si>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</si>
  <si>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</si>
  <si>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</si>
  <si>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</si>
  <si>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</si>
  <si>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</si>
  <si>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</si>
  <si>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</si>
  <si>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</si>
  <si>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</si>
  <si>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</si>
  <si>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</si>
  <si>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</si>
  <si>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</si>
  <si>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</si>
  <si>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</si>
  <si>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</si>
  <si>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</si>
  <si>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</si>
  <si>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</si>
  <si>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</si>
  <si>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</si>
  <si>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</si>
  <si>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</si>
  <si>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</si>
  <si>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</si>
  <si>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</si>
  <si>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</si>
  <si>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</si>
  <si>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</si>
  <si>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</si>
  <si>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</si>
  <si>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</si>
  <si>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87 9 01 70360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</si>
  <si>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</si>
  <si>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</si>
  <si>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</si>
  <si>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</si>
  <si>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</si>
  <si>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</si>
  <si>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</si>
  <si>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</si>
  <si>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</si>
  <si>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</si>
  <si>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</si>
  <si>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</si>
  <si>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</si>
  <si>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</si>
  <si>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</si>
  <si>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</si>
  <si>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</si>
  <si>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</si>
  <si>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</si>
  <si>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</si>
  <si>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</si>
  <si>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</si>
  <si>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</si>
  <si>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</si>
  <si>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Другие вопросы в области национальной безопасности и правоохранительной деятельности</t>
  </si>
  <si>
    <t>14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</si>
  <si>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</si>
  <si>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</si>
  <si>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</si>
  <si>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</si>
  <si>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</si>
  <si>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</si>
  <si>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</si>
  <si>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</si>
  <si>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</si>
  <si>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</si>
  <si>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</si>
  <si>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</si>
  <si>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</si>
  <si>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</si>
  <si>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</si>
  <si>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</si>
  <si>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муниципального образования  "Усть-Лужское сельское поселение"  на очередной финансовый год 2018 год и на плановый период 2019-2020 годы.</t>
  </si>
  <si>
    <t>Основные мероприятия:Мероприятия по содержанию и ремонту муниципального жилого фонда</t>
  </si>
  <si>
    <t>45 6 00 80220</t>
  </si>
  <si>
    <t xml:space="preserve">Распределение бюджетных ассигнований по разделам, подразделам классификации расходов бюджета МО "Усть-Лужское сельское поселение" 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</si>
  <si>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</si>
  <si>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</si>
  <si>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</si>
  <si>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</si>
  <si>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</si>
  <si>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</si>
  <si>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</si>
  <si>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</si>
  <si>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</si>
  <si>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Ведомственная структура расходов (по муниципальным программам  и непрограммным направлениям деятельности), муниципального образования  "Усть-Лужское сельское поселение"  на очередной финансовый год 2018 год и на плановый период 2019-2020 годы.</t>
  </si>
  <si>
    <t>Мероприятия по утеплению огрждающих конструкций многоквартирного жилого дома.</t>
  </si>
  <si>
    <t>87 9 01 70010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</si>
  <si>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</si>
  <si>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810</t>
  </si>
  <si>
    <t>Непрограммные расходы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</si>
  <si>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</si>
  <si>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</si>
  <si>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 xml:space="preserve">Мероприятия на реализацию областного закона от 14 декабря 2012 года № 95-оз. </t>
  </si>
  <si>
    <t>48 1 06 70880</t>
  </si>
  <si>
    <t>244</t>
  </si>
  <si>
    <t>87 9 01 01150</t>
  </si>
  <si>
    <t>Средства массовой информации</t>
  </si>
  <si>
    <t>Периодическая печать и издательства</t>
  </si>
  <si>
    <t>87 9 01 80490</t>
  </si>
  <si>
    <t>87 9 0180360</t>
  </si>
  <si>
    <t>Мероприятия по реализации иных вопросов в области жилищно-коммунального хозяйства</t>
  </si>
  <si>
    <t>Другие вопросы в области жилищно-коммунального хозяйства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</si>
  <si>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</si>
  <si>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</si>
  <si>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</si>
  <si>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>43 2 00  00000</t>
  </si>
  <si>
    <t xml:space="preserve">Подпрограмма «Жилье для молодежи». </t>
  </si>
  <si>
    <t>43 2 01  00000</t>
  </si>
  <si>
    <t>43 2 01  70750</t>
  </si>
  <si>
    <t>262</t>
  </si>
  <si>
    <t>Субсидии гражданам на приобретение жилья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</si>
  <si>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</si>
  <si>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87 9 01 80010</t>
  </si>
  <si>
    <t>Проведение выборов и референдумов</t>
  </si>
  <si>
    <t>87 9 01 80150</t>
  </si>
  <si>
    <t>87 9 01 01030</t>
  </si>
  <si>
    <t>Выплаты на доведение оплаты труда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картами, в 2018 году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</si>
  <si>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</si>
  <si>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42 000 00000</t>
  </si>
  <si>
    <t>42 1 00 00000</t>
  </si>
  <si>
    <t xml:space="preserve">Основные мероприятия: ремонт автомобильных дорог общего пользования местного значения  </t>
  </si>
  <si>
    <t>42 1 03 00000</t>
  </si>
  <si>
    <t>42 1 03 74660</t>
  </si>
  <si>
    <t>42 1 03 s4660</t>
  </si>
  <si>
    <t>43 2 01  01980</t>
  </si>
  <si>
    <t xml:space="preserve">Предоставление социальных выплат гражданам на приобретение (строительство) жилья в целях обеспечения софинансирования государственных программ. </t>
  </si>
  <si>
    <t>42 0 00 00000</t>
  </si>
  <si>
    <t>Мероприятия на реализацию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</si>
  <si>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</si>
  <si>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43 2 0 101980</t>
  </si>
  <si>
    <t>Предоставление социальных выплат гражданам на приобретение (строительство) жилья в целях обеспечения софинансирования государственных программ</t>
  </si>
  <si>
    <t>87 9 0170250</t>
  </si>
  <si>
    <t>410</t>
  </si>
  <si>
    <t>Мероприятия по строительству и реконструкции объектов водоснабжения, водоотведения и очисткисточных вод</t>
  </si>
  <si>
    <t>Бюджетные инвестиции в объекты капитального строительства государственной (муниципальной) собственности</t>
  </si>
  <si>
    <t>42 1 05 74660</t>
  </si>
  <si>
    <t>42 1 05 00000</t>
  </si>
  <si>
    <t>Основные мероприятия: приобретение детского игрового и спортивного оборудования</t>
  </si>
  <si>
    <t>42 1 05 S4660</t>
  </si>
  <si>
    <t>42 1 05 s4660</t>
  </si>
  <si>
    <t>Основные мероприятия: приобретение детского игрового оборудования</t>
  </si>
  <si>
    <t>Осуществление закрепленных за муниципальным образованием законодательством полномочий</t>
  </si>
  <si>
    <t>87 9 0101150</t>
  </si>
  <si>
    <t>87 9 01 s0360</t>
  </si>
  <si>
    <t>87 9 01 80140</t>
  </si>
  <si>
    <t>от 14.12.2018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</si>
</sst>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#,##0.0"/>
    <numFmt numFmtId="186" formatCode="0.0"/>
    <numFmt numFmtId="187" formatCode="?"/>
  </numFmts>
  <fonts count="36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81" fontId="0" fillId="0" borderId="0" xfId="0" applyNumberFormat="1" applyFill="1"/>
    <xf numFmtId="0" fontId="32" fillId="0" borderId="0" xfId="0" applyFont="1" applyFill="1"/>
    <xf numFmtId="186" fontId="33" fillId="0" borderId="0" xfId="0" applyNumberFormat="1" applyFont="1" applyFill="1"/>
    <xf numFmtId="186" fontId="0" fillId="0" borderId="0" xfId="0" applyNumberFormat="1" applyFill="1"/>
    <xf numFmtId="0" fontId="8" fillId="0" borderId="3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181" fontId="1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33" fillId="0" borderId="0" xfId="0" applyFont="1" applyFill="1"/>
    <xf numFmtId="0" fontId="2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left" vertical="top" wrapText="1"/>
    </xf>
    <xf numFmtId="0" fontId="34" fillId="0" borderId="0" xfId="0" applyFont="1" applyFill="1"/>
    <xf numFmtId="0" fontId="4" fillId="0" borderId="0" xfId="0" applyFont="1" applyFill="1"/>
    <xf numFmtId="49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181" fontId="3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4" fillId="0" borderId="3" xfId="0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49" fontId="16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187" fontId="22" fillId="0" borderId="3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/>
    <xf numFmtId="0" fontId="30" fillId="0" borderId="3" xfId="0" applyFont="1" applyFill="1" applyBorder="1" applyAlignment="1">
      <alignment horizontal="center" wrapText="1"/>
    </xf>
    <xf numFmtId="181" fontId="11" fillId="0" borderId="3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5" fillId="0" borderId="23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D16" sqref="D16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8" x14ac:dyDescent="0.2">
      <c r="C1" s="138" t="s">
        <v>171</v>
      </c>
      <c r="D1" s="138"/>
      <c r="E1" s="138"/>
      <c r="F1" s="138"/>
    </row>
    <row r="2" spans="1:8" x14ac:dyDescent="0.2">
      <c r="C2" s="139" t="s">
        <v>172</v>
      </c>
      <c r="D2" s="140"/>
      <c r="E2" s="140"/>
      <c r="F2" s="140"/>
    </row>
    <row r="3" spans="1:8" x14ac:dyDescent="0.2">
      <c r="C3" s="139" t="s">
        <v>173</v>
      </c>
      <c r="D3" s="140"/>
      <c r="E3" s="140"/>
      <c r="F3" s="140"/>
    </row>
    <row r="4" spans="1:8" x14ac:dyDescent="0.2">
      <c r="C4" s="139" t="s">
        <v>174</v>
      </c>
      <c r="D4" s="140"/>
      <c r="E4" s="140"/>
      <c r="F4" s="140"/>
    </row>
    <row r="5" spans="1:8" x14ac:dyDescent="0.2">
      <c r="C5" s="144" t="s">
        <v>320</v>
      </c>
      <c r="D5" s="145"/>
      <c r="E5" s="145"/>
      <c r="F5" s="145"/>
    </row>
    <row r="6" spans="1:8" ht="33.75" customHeight="1" x14ac:dyDescent="0.2">
      <c r="A6" s="146" t="s">
        <v>249</v>
      </c>
      <c r="B6" s="147"/>
      <c r="C6" s="147"/>
      <c r="D6" s="148"/>
      <c r="E6" s="148"/>
      <c r="F6" s="148"/>
    </row>
    <row r="7" spans="1:8" x14ac:dyDescent="0.2">
      <c r="A7" s="149"/>
      <c r="B7" s="149"/>
      <c r="C7" s="149"/>
      <c r="D7" s="148"/>
      <c r="E7" s="148"/>
      <c r="F7" s="148"/>
    </row>
    <row r="8" spans="1:8" ht="13.5" thickBot="1" x14ac:dyDescent="0.25">
      <c r="E8" s="1" t="s">
        <v>0</v>
      </c>
    </row>
    <row r="9" spans="1:8" ht="15.75" x14ac:dyDescent="0.2">
      <c r="A9" s="141" t="s">
        <v>1</v>
      </c>
      <c r="B9" s="132" t="s">
        <v>3</v>
      </c>
      <c r="C9" s="132" t="s">
        <v>4</v>
      </c>
      <c r="D9" s="135" t="s">
        <v>6</v>
      </c>
      <c r="E9" s="136"/>
      <c r="F9" s="137"/>
    </row>
    <row r="10" spans="1:8" ht="12.75" customHeight="1" x14ac:dyDescent="0.2">
      <c r="A10" s="142"/>
      <c r="B10" s="133"/>
      <c r="C10" s="133"/>
      <c r="D10" s="133">
        <v>2018</v>
      </c>
      <c r="E10" s="150">
        <v>2019</v>
      </c>
      <c r="F10" s="153">
        <v>2020</v>
      </c>
    </row>
    <row r="11" spans="1:8" x14ac:dyDescent="0.2">
      <c r="A11" s="142"/>
      <c r="B11" s="133"/>
      <c r="C11" s="133"/>
      <c r="D11" s="133"/>
      <c r="E11" s="151"/>
      <c r="F11" s="154"/>
    </row>
    <row r="12" spans="1:8" ht="20.25" customHeight="1" thickBot="1" x14ac:dyDescent="0.25">
      <c r="A12" s="143"/>
      <c r="B12" s="134"/>
      <c r="C12" s="134"/>
      <c r="D12" s="134"/>
      <c r="E12" s="152"/>
      <c r="F12" s="155"/>
      <c r="G12" s="17"/>
    </row>
    <row r="13" spans="1:8" ht="15.75" x14ac:dyDescent="0.25">
      <c r="A13" s="12" t="s">
        <v>48</v>
      </c>
      <c r="B13" s="13" t="s">
        <v>16</v>
      </c>
      <c r="C13" s="13" t="s">
        <v>16</v>
      </c>
      <c r="D13" s="14">
        <f>D14+D26+D29+D32+D37+D40+D43+D24+D45</f>
        <v>43626.879999999997</v>
      </c>
      <c r="E13" s="14">
        <f>E14+E26+E29+E32+E37+E40+E43+E24+E45</f>
        <v>31522.287999999997</v>
      </c>
      <c r="F13" s="14">
        <f>F14+F26+F29+F32+F37+F40+F43+F24+F45</f>
        <v>33142.976999999999</v>
      </c>
      <c r="G13" s="18"/>
      <c r="H13" s="16"/>
    </row>
    <row r="14" spans="1:8" ht="15.75" x14ac:dyDescent="0.25">
      <c r="A14" s="3" t="s">
        <v>17</v>
      </c>
      <c r="B14" s="6" t="s">
        <v>36</v>
      </c>
      <c r="C14" s="6" t="s">
        <v>37</v>
      </c>
      <c r="D14" s="5">
        <f>SUM(D15:D23)</f>
        <v>14284.474</v>
      </c>
      <c r="E14" s="5">
        <f>SUM(E15:E23)</f>
        <v>15004.091999999999</v>
      </c>
      <c r="F14" s="5">
        <f>SUM(F15:F23)</f>
        <v>15062.449999999997</v>
      </c>
      <c r="G14" s="18"/>
      <c r="H14" s="19"/>
    </row>
    <row r="15" spans="1:8" ht="51" customHeight="1" x14ac:dyDescent="0.25">
      <c r="A15" s="7" t="s">
        <v>12</v>
      </c>
      <c r="B15" s="8" t="s">
        <v>36</v>
      </c>
      <c r="C15" s="8" t="s">
        <v>38</v>
      </c>
      <c r="D15" s="4">
        <f>'6'!G14</f>
        <v>305.84800000000001</v>
      </c>
      <c r="E15" s="4">
        <f>'6'!H14</f>
        <v>325.34800000000001</v>
      </c>
      <c r="F15" s="4">
        <f>'6'!I14</f>
        <v>325.34800000000001</v>
      </c>
      <c r="G15" s="18"/>
      <c r="H15" s="16"/>
    </row>
    <row r="16" spans="1:8" ht="46.5" customHeight="1" x14ac:dyDescent="0.25">
      <c r="A16" s="7" t="s">
        <v>18</v>
      </c>
      <c r="B16" s="8" t="s">
        <v>36</v>
      </c>
      <c r="C16" s="8" t="s">
        <v>39</v>
      </c>
      <c r="D16" s="4">
        <f>'6'!G21</f>
        <v>12707.215</v>
      </c>
      <c r="E16" s="4">
        <f>'6'!H21</f>
        <v>13208.822999999999</v>
      </c>
      <c r="F16" s="4">
        <f>'6'!I21</f>
        <v>13259.043999999998</v>
      </c>
    </row>
    <row r="17" spans="1:6" ht="19.5" customHeight="1" x14ac:dyDescent="0.25">
      <c r="A17" s="15" t="s">
        <v>52</v>
      </c>
      <c r="B17" s="8" t="s">
        <v>36</v>
      </c>
      <c r="C17" s="8" t="s">
        <v>53</v>
      </c>
      <c r="D17" s="4">
        <f>'6'!G33</f>
        <v>39.200000000000003</v>
      </c>
      <c r="E17" s="4"/>
      <c r="F17" s="4"/>
    </row>
    <row r="18" spans="1:6" ht="15.75" x14ac:dyDescent="0.25">
      <c r="A18" s="7" t="s">
        <v>19</v>
      </c>
      <c r="B18" s="8" t="s">
        <v>36</v>
      </c>
      <c r="C18" s="8" t="s">
        <v>40</v>
      </c>
      <c r="D18" s="4">
        <f>'6'!G39</f>
        <v>199.96</v>
      </c>
      <c r="E18" s="4">
        <f>'6'!H39</f>
        <v>200</v>
      </c>
      <c r="F18" s="4">
        <f>'6'!I39</f>
        <v>200</v>
      </c>
    </row>
    <row r="19" spans="1:6" ht="15.75" hidden="1" x14ac:dyDescent="0.25">
      <c r="A19" s="7"/>
      <c r="B19" s="8"/>
      <c r="C19" s="8"/>
      <c r="D19" s="4"/>
      <c r="E19" s="4"/>
      <c r="F19" s="4"/>
    </row>
    <row r="20" spans="1:6" ht="15.75" hidden="1" x14ac:dyDescent="0.25">
      <c r="A20" s="7"/>
      <c r="B20" s="8"/>
      <c r="C20" s="8"/>
      <c r="D20" s="4"/>
      <c r="E20" s="4"/>
      <c r="F20" s="4"/>
    </row>
    <row r="21" spans="1:6" ht="15.75" hidden="1" x14ac:dyDescent="0.25">
      <c r="A21" s="7"/>
      <c r="B21" s="8"/>
      <c r="C21" s="8"/>
      <c r="D21" s="4"/>
      <c r="E21" s="4"/>
      <c r="F21" s="4"/>
    </row>
    <row r="22" spans="1:6" ht="15.75" hidden="1" x14ac:dyDescent="0.25">
      <c r="A22" s="7"/>
      <c r="B22" s="8"/>
      <c r="C22" s="8"/>
      <c r="D22" s="4"/>
      <c r="E22" s="4"/>
      <c r="F22" s="4"/>
    </row>
    <row r="23" spans="1:6" ht="15.75" x14ac:dyDescent="0.25">
      <c r="A23" s="7" t="s">
        <v>24</v>
      </c>
      <c r="B23" s="8" t="s">
        <v>36</v>
      </c>
      <c r="C23" s="8" t="s">
        <v>41</v>
      </c>
      <c r="D23" s="4">
        <f>'6'!G45</f>
        <v>1032.251</v>
      </c>
      <c r="E23" s="4">
        <f>'6'!H45</f>
        <v>1269.9209999999998</v>
      </c>
      <c r="F23" s="4">
        <f>'6'!I45</f>
        <v>1278.058</v>
      </c>
    </row>
    <row r="24" spans="1:6" ht="15.75" x14ac:dyDescent="0.25">
      <c r="A24" s="9" t="s">
        <v>14</v>
      </c>
      <c r="B24" s="6" t="s">
        <v>42</v>
      </c>
      <c r="C24" s="6" t="s">
        <v>37</v>
      </c>
      <c r="D24" s="5">
        <f>D25</f>
        <v>254.4</v>
      </c>
      <c r="E24" s="5">
        <f>SUM(F24:F24)</f>
        <v>0</v>
      </c>
      <c r="F24" s="16">
        <f>SUM(F25)</f>
        <v>0</v>
      </c>
    </row>
    <row r="25" spans="1:6" ht="15.75" x14ac:dyDescent="0.25">
      <c r="A25" s="2" t="s">
        <v>20</v>
      </c>
      <c r="B25" s="8" t="s">
        <v>42</v>
      </c>
      <c r="C25" s="8" t="s">
        <v>38</v>
      </c>
      <c r="D25" s="4">
        <f>'6'!G75</f>
        <v>254.4</v>
      </c>
      <c r="E25" s="4"/>
      <c r="F25" s="5"/>
    </row>
    <row r="26" spans="1:6" ht="31.5" x14ac:dyDescent="0.25">
      <c r="A26" s="3" t="s">
        <v>32</v>
      </c>
      <c r="B26" s="6" t="s">
        <v>38</v>
      </c>
      <c r="C26" s="6" t="s">
        <v>37</v>
      </c>
      <c r="D26" s="5">
        <f>SUM(D27:D28)</f>
        <v>579</v>
      </c>
      <c r="E26" s="5">
        <f>SUM(E27:E28)</f>
        <v>1098</v>
      </c>
      <c r="F26" s="5">
        <f>SUM(F27:F28)</f>
        <v>958</v>
      </c>
    </row>
    <row r="27" spans="1:6" ht="47.25" x14ac:dyDescent="0.25">
      <c r="A27" s="7" t="s">
        <v>31</v>
      </c>
      <c r="B27" s="8" t="s">
        <v>38</v>
      </c>
      <c r="C27" s="8" t="s">
        <v>43</v>
      </c>
      <c r="D27" s="4">
        <f>'6'!G88</f>
        <v>85.1</v>
      </c>
      <c r="E27" s="4">
        <f>'6'!H88</f>
        <v>630</v>
      </c>
      <c r="F27" s="4">
        <f>'6'!I88</f>
        <v>490</v>
      </c>
    </row>
    <row r="28" spans="1:6" ht="31.5" x14ac:dyDescent="0.25">
      <c r="A28" s="15" t="s">
        <v>228</v>
      </c>
      <c r="B28" s="8" t="s">
        <v>38</v>
      </c>
      <c r="C28" s="8" t="s">
        <v>229</v>
      </c>
      <c r="D28" s="4">
        <f>'6'!G89</f>
        <v>493.9</v>
      </c>
      <c r="E28" s="4">
        <f>'6'!H89</f>
        <v>468</v>
      </c>
      <c r="F28" s="4">
        <f>'6'!I89</f>
        <v>468</v>
      </c>
    </row>
    <row r="29" spans="1:6" ht="15.75" x14ac:dyDescent="0.25">
      <c r="A29" s="9" t="s">
        <v>21</v>
      </c>
      <c r="B29" s="6" t="s">
        <v>39</v>
      </c>
      <c r="C29" s="6" t="s">
        <v>37</v>
      </c>
      <c r="D29" s="5">
        <f>SUM(D30:D31)</f>
        <v>6131.597999999999</v>
      </c>
      <c r="E29" s="5">
        <f>SUM(E30:E31)</f>
        <v>2400</v>
      </c>
      <c r="F29" s="5">
        <f>SUM(F30:F31)</f>
        <v>2400</v>
      </c>
    </row>
    <row r="30" spans="1:6" ht="15.75" x14ac:dyDescent="0.25">
      <c r="A30" s="2" t="s">
        <v>51</v>
      </c>
      <c r="B30" s="8" t="s">
        <v>39</v>
      </c>
      <c r="C30" s="8" t="s">
        <v>43</v>
      </c>
      <c r="D30" s="4">
        <f>'6'!G97</f>
        <v>5933.597999999999</v>
      </c>
      <c r="E30" s="4">
        <f>'6'!H97</f>
        <v>2400</v>
      </c>
      <c r="F30" s="4">
        <f>'6'!I97</f>
        <v>2400</v>
      </c>
    </row>
    <row r="31" spans="1:6" ht="23.25" customHeight="1" x14ac:dyDescent="0.25">
      <c r="A31" s="7" t="s">
        <v>34</v>
      </c>
      <c r="B31" s="8" t="s">
        <v>39</v>
      </c>
      <c r="C31" s="8" t="s">
        <v>44</v>
      </c>
      <c r="D31" s="4">
        <f>'6'!G133</f>
        <v>198</v>
      </c>
      <c r="E31" s="4">
        <f>SUM(F31:F31)</f>
        <v>0</v>
      </c>
      <c r="F31" s="4">
        <v>0</v>
      </c>
    </row>
    <row r="32" spans="1:6" ht="15.75" x14ac:dyDescent="0.25">
      <c r="A32" s="9" t="s">
        <v>8</v>
      </c>
      <c r="B32" s="6" t="s">
        <v>45</v>
      </c>
      <c r="C32" s="6" t="s">
        <v>37</v>
      </c>
      <c r="D32" s="5">
        <f>SUM(D33:D36)</f>
        <v>10048.535</v>
      </c>
      <c r="E32" s="5">
        <f>SUM(E33:E36)</f>
        <v>6134.701</v>
      </c>
      <c r="F32" s="5">
        <f>SUM(F33:F36)</f>
        <v>6622.3009999999995</v>
      </c>
    </row>
    <row r="33" spans="1:6" ht="15.75" x14ac:dyDescent="0.25">
      <c r="A33" s="2" t="s">
        <v>22</v>
      </c>
      <c r="B33" s="8" t="s">
        <v>45</v>
      </c>
      <c r="C33" s="8" t="s">
        <v>36</v>
      </c>
      <c r="D33" s="4">
        <f>'6'!G142</f>
        <v>4040.4169999999999</v>
      </c>
      <c r="E33" s="4">
        <f>'6'!H142</f>
        <v>550.80099999999993</v>
      </c>
      <c r="F33" s="4">
        <f>'6'!I142</f>
        <v>550.80099999999993</v>
      </c>
    </row>
    <row r="34" spans="1:6" ht="15.75" x14ac:dyDescent="0.25">
      <c r="A34" s="2" t="s">
        <v>9</v>
      </c>
      <c r="B34" s="8" t="s">
        <v>45</v>
      </c>
      <c r="C34" s="8" t="s">
        <v>42</v>
      </c>
      <c r="D34" s="4">
        <f>'6'!G159</f>
        <v>2109.2979999999998</v>
      </c>
      <c r="E34" s="4">
        <f>'6'!H159</f>
        <v>1587.4</v>
      </c>
      <c r="F34" s="4">
        <f>'6'!I159</f>
        <v>2175</v>
      </c>
    </row>
    <row r="35" spans="1:6" ht="15.75" x14ac:dyDescent="0.25">
      <c r="A35" s="2" t="s">
        <v>23</v>
      </c>
      <c r="B35" s="8" t="s">
        <v>45</v>
      </c>
      <c r="C35" s="8" t="s">
        <v>38</v>
      </c>
      <c r="D35" s="4">
        <f>'6'!G181</f>
        <v>3769.9200000000005</v>
      </c>
      <c r="E35" s="4">
        <f>'6'!H181</f>
        <v>3866.5</v>
      </c>
      <c r="F35" s="4">
        <f>'6'!I181</f>
        <v>3766.5</v>
      </c>
    </row>
    <row r="36" spans="1:6" ht="31.5" x14ac:dyDescent="0.25">
      <c r="A36" s="20" t="s">
        <v>276</v>
      </c>
      <c r="B36" s="8" t="s">
        <v>45</v>
      </c>
      <c r="C36" s="8" t="s">
        <v>45</v>
      </c>
      <c r="D36" s="4">
        <f>'6'!G218</f>
        <v>128.9</v>
      </c>
      <c r="E36" s="4">
        <f>'6'!H218</f>
        <v>130</v>
      </c>
      <c r="F36" s="4">
        <f>'6'!I218</f>
        <v>130</v>
      </c>
    </row>
    <row r="37" spans="1:6" ht="15.75" x14ac:dyDescent="0.25">
      <c r="A37" s="3" t="s">
        <v>35</v>
      </c>
      <c r="B37" s="6" t="s">
        <v>46</v>
      </c>
      <c r="C37" s="6" t="s">
        <v>37</v>
      </c>
      <c r="D37" s="5">
        <f>SUM(D38:D39)</f>
        <v>5227.768</v>
      </c>
      <c r="E37" s="5">
        <f>SUM(E38:E39)</f>
        <v>5289.1950000000006</v>
      </c>
      <c r="F37" s="5">
        <f>SUM(F38:F39)</f>
        <v>5178.2260000000006</v>
      </c>
    </row>
    <row r="38" spans="1:6" ht="15.75" x14ac:dyDescent="0.25">
      <c r="A38" s="7" t="s">
        <v>13</v>
      </c>
      <c r="B38" s="8" t="s">
        <v>46</v>
      </c>
      <c r="C38" s="8" t="s">
        <v>36</v>
      </c>
      <c r="D38" s="4">
        <f>'6'!G220</f>
        <v>4514.0680000000002</v>
      </c>
      <c r="E38" s="4">
        <f>'6'!H220</f>
        <v>4181.3950000000004</v>
      </c>
      <c r="F38" s="4">
        <f>'6'!I220</f>
        <v>4069.9170000000004</v>
      </c>
    </row>
    <row r="39" spans="1:6" ht="19.5" customHeight="1" x14ac:dyDescent="0.25">
      <c r="A39" s="7" t="s">
        <v>27</v>
      </c>
      <c r="B39" s="8" t="s">
        <v>46</v>
      </c>
      <c r="C39" s="8" t="s">
        <v>39</v>
      </c>
      <c r="D39" s="4">
        <f>'6'!G259</f>
        <v>713.69999999999982</v>
      </c>
      <c r="E39" s="4">
        <f>'6'!H259</f>
        <v>1107.8</v>
      </c>
      <c r="F39" s="4">
        <f>'6'!I259</f>
        <v>1108.309</v>
      </c>
    </row>
    <row r="40" spans="1:6" ht="15.75" x14ac:dyDescent="0.25">
      <c r="A40" s="10" t="s">
        <v>28</v>
      </c>
      <c r="B40" s="6" t="s">
        <v>47</v>
      </c>
      <c r="C40" s="6" t="s">
        <v>37</v>
      </c>
      <c r="D40" s="5">
        <f>SUM(D41:D42)</f>
        <v>6895.4920000000002</v>
      </c>
      <c r="E40" s="5">
        <f>SUM(E41:E42)</f>
        <v>1309.8</v>
      </c>
      <c r="F40" s="5">
        <f>SUM(F41:F42)</f>
        <v>1309.8</v>
      </c>
    </row>
    <row r="41" spans="1:6" ht="15.75" x14ac:dyDescent="0.25">
      <c r="A41" s="2" t="s">
        <v>25</v>
      </c>
      <c r="B41" s="8" t="s">
        <v>47</v>
      </c>
      <c r="C41" s="8" t="s">
        <v>36</v>
      </c>
      <c r="D41" s="4">
        <f>'6'!G276</f>
        <v>1309.8</v>
      </c>
      <c r="E41" s="4">
        <f>'6'!H276</f>
        <v>1309.8</v>
      </c>
      <c r="F41" s="4">
        <f>'6'!I276</f>
        <v>1309.8</v>
      </c>
    </row>
    <row r="42" spans="1:6" ht="15.75" x14ac:dyDescent="0.25">
      <c r="A42" s="15" t="s">
        <v>277</v>
      </c>
      <c r="B42" s="8" t="s">
        <v>47</v>
      </c>
      <c r="C42" s="8" t="s">
        <v>38</v>
      </c>
      <c r="D42" s="4">
        <f>'6'!G282</f>
        <v>5585.692</v>
      </c>
      <c r="E42" s="4">
        <f>'6'!H287</f>
        <v>0</v>
      </c>
      <c r="F42" s="4">
        <f>'6'!I287</f>
        <v>0</v>
      </c>
    </row>
    <row r="43" spans="1:6" ht="15.75" x14ac:dyDescent="0.25">
      <c r="A43" s="3" t="s">
        <v>10</v>
      </c>
      <c r="B43" s="6" t="s">
        <v>40</v>
      </c>
      <c r="C43" s="6" t="s">
        <v>37</v>
      </c>
      <c r="D43" s="5">
        <f>D44</f>
        <v>105.61300000000001</v>
      </c>
      <c r="E43" s="5">
        <f>E44</f>
        <v>286.5</v>
      </c>
      <c r="F43" s="5">
        <f>F44</f>
        <v>1612.2</v>
      </c>
    </row>
    <row r="44" spans="1:6" ht="21.75" customHeight="1" x14ac:dyDescent="0.25">
      <c r="A44" s="7" t="s">
        <v>30</v>
      </c>
      <c r="B44" s="11" t="s">
        <v>40</v>
      </c>
      <c r="C44" s="11" t="s">
        <v>45</v>
      </c>
      <c r="D44" s="4">
        <f>'6'!G291</f>
        <v>105.61300000000001</v>
      </c>
      <c r="E44" s="4">
        <f>'6'!H291</f>
        <v>286.5</v>
      </c>
      <c r="F44" s="4">
        <f>'6'!I291</f>
        <v>1612.2</v>
      </c>
    </row>
    <row r="45" spans="1:6" ht="15.75" x14ac:dyDescent="0.25">
      <c r="A45" s="10" t="s">
        <v>271</v>
      </c>
      <c r="B45" s="6" t="s">
        <v>44</v>
      </c>
      <c r="C45" s="6" t="s">
        <v>37</v>
      </c>
      <c r="D45" s="5">
        <f>SUM(D46)</f>
        <v>100</v>
      </c>
      <c r="E45" s="5">
        <f>SUM(E46)</f>
        <v>0</v>
      </c>
      <c r="F45" s="5">
        <f>SUM(F46)</f>
        <v>0</v>
      </c>
    </row>
    <row r="46" spans="1:6" ht="15.75" x14ac:dyDescent="0.25">
      <c r="A46" s="2" t="s">
        <v>272</v>
      </c>
      <c r="B46" s="8" t="s">
        <v>44</v>
      </c>
      <c r="C46" s="8" t="s">
        <v>42</v>
      </c>
      <c r="D46" s="4">
        <f>'6'!G311</f>
        <v>100</v>
      </c>
      <c r="E46" s="4">
        <f>'6'!H311</f>
        <v>0</v>
      </c>
      <c r="F46" s="4">
        <f>'6'!I311</f>
        <v>0</v>
      </c>
    </row>
  </sheetData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9"/>
  <sheetViews>
    <sheetView zoomScaleNormal="100" workbookViewId="0">
      <selection activeCell="A8" sqref="A8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7" customWidth="1"/>
    <col min="9" max="9" width="9.140625" style="1"/>
    <col min="10" max="10" width="12.7109375" style="1" bestFit="1" customWidth="1"/>
    <col min="11" max="16384" width="9.140625" style="1"/>
  </cols>
  <sheetData>
    <row r="1" spans="1:12" x14ac:dyDescent="0.2">
      <c r="C1" s="121"/>
      <c r="I1" s="21" t="s">
        <v>175</v>
      </c>
      <c r="J1" s="24"/>
      <c r="K1" s="24"/>
      <c r="L1" s="24"/>
    </row>
    <row r="2" spans="1:12" x14ac:dyDescent="0.2">
      <c r="C2" s="121"/>
      <c r="I2" s="22" t="s">
        <v>172</v>
      </c>
      <c r="J2" s="25"/>
      <c r="K2" s="25"/>
      <c r="L2" s="25"/>
    </row>
    <row r="3" spans="1:12" x14ac:dyDescent="0.2">
      <c r="C3" s="121"/>
      <c r="I3" s="22" t="s">
        <v>173</v>
      </c>
      <c r="J3" s="25"/>
      <c r="K3" s="25"/>
      <c r="L3" s="25"/>
    </row>
    <row r="4" spans="1:12" x14ac:dyDescent="0.2">
      <c r="C4" s="121"/>
      <c r="I4" s="22" t="s">
        <v>174</v>
      </c>
      <c r="J4" s="25"/>
      <c r="K4" s="25"/>
      <c r="L4" s="25"/>
    </row>
    <row r="5" spans="1:12" ht="15.75" x14ac:dyDescent="0.25">
      <c r="C5" s="121"/>
      <c r="H5" s="25"/>
      <c r="I5" s="131" t="s">
        <v>320</v>
      </c>
      <c r="J5" s="23"/>
      <c r="K5" s="23"/>
      <c r="L5" s="23"/>
    </row>
    <row r="6" spans="1:12" ht="15.75" x14ac:dyDescent="0.25">
      <c r="A6" s="158" t="s">
        <v>7</v>
      </c>
      <c r="B6" s="158"/>
      <c r="C6" s="158"/>
      <c r="D6" s="158"/>
      <c r="E6" s="158"/>
      <c r="F6" s="158"/>
      <c r="G6" s="159"/>
      <c r="I6" s="27"/>
    </row>
    <row r="7" spans="1:12" ht="34.5" customHeight="1" x14ac:dyDescent="0.25">
      <c r="A7" s="156" t="s">
        <v>246</v>
      </c>
      <c r="B7" s="156"/>
      <c r="C7" s="156"/>
      <c r="D7" s="156"/>
      <c r="E7" s="156"/>
      <c r="F7" s="156"/>
      <c r="G7" s="157"/>
    </row>
    <row r="8" spans="1:12" x14ac:dyDescent="0.2">
      <c r="F8" s="1" t="s">
        <v>0</v>
      </c>
    </row>
    <row r="10" spans="1:12" x14ac:dyDescent="0.2">
      <c r="A10" s="28" t="s">
        <v>1</v>
      </c>
      <c r="B10" s="28" t="s">
        <v>49</v>
      </c>
      <c r="C10" s="28" t="s">
        <v>3</v>
      </c>
      <c r="D10" s="28" t="s">
        <v>4</v>
      </c>
      <c r="E10" s="28" t="s">
        <v>2</v>
      </c>
      <c r="F10" s="29" t="s">
        <v>5</v>
      </c>
      <c r="G10" s="30">
        <v>2018</v>
      </c>
      <c r="H10" s="30">
        <v>2019</v>
      </c>
      <c r="I10" s="30">
        <v>2020</v>
      </c>
    </row>
    <row r="11" spans="1:12" x14ac:dyDescent="0.2">
      <c r="A11" s="31"/>
      <c r="B11" s="31"/>
      <c r="C11" s="31"/>
      <c r="D11" s="31"/>
      <c r="E11" s="31"/>
      <c r="F11" s="32"/>
      <c r="G11" s="30" t="s">
        <v>6</v>
      </c>
      <c r="H11" s="30" t="s">
        <v>6</v>
      </c>
      <c r="I11" s="30" t="s">
        <v>6</v>
      </c>
    </row>
    <row r="12" spans="1:12" ht="29.25" x14ac:dyDescent="0.25">
      <c r="A12" s="33" t="s">
        <v>26</v>
      </c>
      <c r="B12" s="34">
        <v>911</v>
      </c>
      <c r="C12" s="35" t="s">
        <v>16</v>
      </c>
      <c r="D12" s="35" t="s">
        <v>16</v>
      </c>
      <c r="E12" s="35" t="s">
        <v>16</v>
      </c>
      <c r="F12" s="35" t="s">
        <v>16</v>
      </c>
      <c r="G12" s="36">
        <f>SUM(G13,G75,G82,G96,G141,G219,G275,G290,G311,)</f>
        <v>43626.87999999999</v>
      </c>
      <c r="H12" s="36">
        <f>SUM(H13,H75,H82,H96,H141,H219,H275,H290,)</f>
        <v>31522.287999999997</v>
      </c>
      <c r="I12" s="36">
        <f>SUM(I13,I75,I82,I96,I141,I219,I275,I290,)</f>
        <v>33142.976999999999</v>
      </c>
      <c r="J12" s="16"/>
      <c r="K12" s="16"/>
    </row>
    <row r="13" spans="1:12" ht="14.25" x14ac:dyDescent="0.2">
      <c r="A13" s="37" t="s">
        <v>17</v>
      </c>
      <c r="B13" s="50">
        <v>911</v>
      </c>
      <c r="C13" s="88" t="s">
        <v>36</v>
      </c>
      <c r="D13" s="88" t="s">
        <v>37</v>
      </c>
      <c r="E13" s="87" t="s">
        <v>16</v>
      </c>
      <c r="F13" s="87" t="s">
        <v>16</v>
      </c>
      <c r="G13" s="89">
        <f>G14+G21+G39+G45+G33</f>
        <v>14284.474</v>
      </c>
      <c r="H13" s="89">
        <f>H14+H21+H39+H45</f>
        <v>15004.091999999999</v>
      </c>
      <c r="I13" s="89">
        <f>I14+I21+I39+I45</f>
        <v>15062.449999999997</v>
      </c>
      <c r="J13" s="16"/>
    </row>
    <row r="14" spans="1:12" ht="39" x14ac:dyDescent="0.25">
      <c r="A14" s="37" t="s">
        <v>222</v>
      </c>
      <c r="B14" s="91"/>
      <c r="C14" s="49" t="s">
        <v>36</v>
      </c>
      <c r="D14" s="49" t="s">
        <v>38</v>
      </c>
      <c r="E14" s="49"/>
      <c r="F14" s="49"/>
      <c r="G14" s="92">
        <f t="shared" ref="G14:I15" si="0">G15</f>
        <v>305.84800000000001</v>
      </c>
      <c r="H14" s="92">
        <f t="shared" si="0"/>
        <v>325.34800000000001</v>
      </c>
      <c r="I14" s="92">
        <f t="shared" si="0"/>
        <v>325.34800000000001</v>
      </c>
    </row>
    <row r="15" spans="1:12" ht="15" x14ac:dyDescent="0.25">
      <c r="A15" s="41" t="s">
        <v>164</v>
      </c>
      <c r="B15" s="91"/>
      <c r="C15" s="56" t="s">
        <v>36</v>
      </c>
      <c r="D15" s="56" t="s">
        <v>38</v>
      </c>
      <c r="E15" s="56" t="s">
        <v>89</v>
      </c>
      <c r="F15" s="49"/>
      <c r="G15" s="93">
        <f t="shared" si="0"/>
        <v>305.84800000000001</v>
      </c>
      <c r="H15" s="93">
        <f t="shared" si="0"/>
        <v>325.34800000000001</v>
      </c>
      <c r="I15" s="93">
        <f t="shared" si="0"/>
        <v>325.34800000000001</v>
      </c>
      <c r="J15" s="90"/>
    </row>
    <row r="16" spans="1:12" ht="25.5" x14ac:dyDescent="0.2">
      <c r="A16" s="41" t="s">
        <v>54</v>
      </c>
      <c r="B16" s="59"/>
      <c r="C16" s="56" t="s">
        <v>36</v>
      </c>
      <c r="D16" s="56" t="s">
        <v>38</v>
      </c>
      <c r="E16" s="56" t="s">
        <v>86</v>
      </c>
      <c r="F16" s="56"/>
      <c r="G16" s="45">
        <f>G18+G19</f>
        <v>305.84800000000001</v>
      </c>
      <c r="H16" s="45">
        <f>H18+H19</f>
        <v>325.34800000000001</v>
      </c>
      <c r="I16" s="45">
        <f>I18+I19</f>
        <v>325.34800000000001</v>
      </c>
    </row>
    <row r="17" spans="1:15" x14ac:dyDescent="0.2">
      <c r="A17" s="63" t="s">
        <v>166</v>
      </c>
      <c r="B17" s="59"/>
      <c r="C17" s="56" t="s">
        <v>36</v>
      </c>
      <c r="D17" s="56" t="s">
        <v>38</v>
      </c>
      <c r="E17" s="43" t="s">
        <v>165</v>
      </c>
      <c r="F17" s="56"/>
      <c r="G17" s="45">
        <f>G18</f>
        <v>152.84800000000001</v>
      </c>
      <c r="H17" s="45">
        <f>H18</f>
        <v>172.34800000000001</v>
      </c>
      <c r="I17" s="45">
        <f>I18</f>
        <v>172.34800000000001</v>
      </c>
    </row>
    <row r="18" spans="1:15" ht="25.5" x14ac:dyDescent="0.2">
      <c r="A18" s="41" t="s">
        <v>83</v>
      </c>
      <c r="B18" s="59"/>
      <c r="C18" s="56" t="s">
        <v>36</v>
      </c>
      <c r="D18" s="56" t="s">
        <v>38</v>
      </c>
      <c r="E18" s="44" t="s">
        <v>87</v>
      </c>
      <c r="F18" s="56" t="s">
        <v>84</v>
      </c>
      <c r="G18" s="45">
        <f>172.348-19.5</f>
        <v>152.84800000000001</v>
      </c>
      <c r="H18" s="45">
        <v>172.34800000000001</v>
      </c>
      <c r="I18" s="45">
        <v>172.34800000000001</v>
      </c>
    </row>
    <row r="19" spans="1:15" ht="27" customHeight="1" x14ac:dyDescent="0.2">
      <c r="A19" s="41" t="s">
        <v>55</v>
      </c>
      <c r="B19" s="57"/>
      <c r="C19" s="56" t="s">
        <v>36</v>
      </c>
      <c r="D19" s="56" t="s">
        <v>38</v>
      </c>
      <c r="E19" s="56" t="s">
        <v>88</v>
      </c>
      <c r="F19" s="62"/>
      <c r="G19" s="45">
        <f>G20</f>
        <v>153</v>
      </c>
      <c r="H19" s="45">
        <f>H20</f>
        <v>153</v>
      </c>
      <c r="I19" s="45">
        <f>I20</f>
        <v>153</v>
      </c>
    </row>
    <row r="20" spans="1:15" x14ac:dyDescent="0.2">
      <c r="A20" s="41" t="s">
        <v>56</v>
      </c>
      <c r="B20" s="57"/>
      <c r="C20" s="56" t="s">
        <v>36</v>
      </c>
      <c r="D20" s="56" t="s">
        <v>38</v>
      </c>
      <c r="E20" s="56" t="s">
        <v>88</v>
      </c>
      <c r="F20" s="56" t="s">
        <v>57</v>
      </c>
      <c r="G20" s="45">
        <v>153</v>
      </c>
      <c r="H20" s="45">
        <v>153</v>
      </c>
      <c r="I20" s="45">
        <v>153</v>
      </c>
    </row>
    <row r="21" spans="1:15" ht="39" customHeight="1" x14ac:dyDescent="0.25">
      <c r="A21" s="37" t="s">
        <v>18</v>
      </c>
      <c r="B21" s="59"/>
      <c r="C21" s="49" t="s">
        <v>36</v>
      </c>
      <c r="D21" s="49" t="s">
        <v>39</v>
      </c>
      <c r="E21" s="34" t="s">
        <v>16</v>
      </c>
      <c r="F21" s="34" t="s">
        <v>16</v>
      </c>
      <c r="G21" s="36">
        <f>G22</f>
        <v>12707.215</v>
      </c>
      <c r="H21" s="36">
        <f>H22</f>
        <v>13208.822999999999</v>
      </c>
      <c r="I21" s="36">
        <f>I22</f>
        <v>13259.043999999998</v>
      </c>
      <c r="J21" s="160"/>
      <c r="K21" s="161"/>
      <c r="L21" s="161"/>
      <c r="M21" s="161"/>
      <c r="N21" s="161"/>
      <c r="O21" s="161"/>
    </row>
    <row r="22" spans="1:15" x14ac:dyDescent="0.2">
      <c r="A22" s="54" t="s">
        <v>80</v>
      </c>
      <c r="B22" s="59"/>
      <c r="C22" s="56" t="s">
        <v>36</v>
      </c>
      <c r="D22" s="56" t="s">
        <v>39</v>
      </c>
      <c r="E22" s="56" t="s">
        <v>89</v>
      </c>
      <c r="F22" s="62" t="s">
        <v>16</v>
      </c>
      <c r="G22" s="45">
        <f>SUM(G23,G27)</f>
        <v>12707.215</v>
      </c>
      <c r="H22" s="45">
        <f>SUM(H23,H27)</f>
        <v>13208.822999999999</v>
      </c>
      <c r="I22" s="45">
        <f>SUM(I23,I27)</f>
        <v>13259.043999999998</v>
      </c>
    </row>
    <row r="23" spans="1:15" x14ac:dyDescent="0.2">
      <c r="A23" s="41" t="s">
        <v>58</v>
      </c>
      <c r="B23" s="59"/>
      <c r="C23" s="56" t="s">
        <v>36</v>
      </c>
      <c r="D23" s="56" t="s">
        <v>39</v>
      </c>
      <c r="E23" s="56" t="s">
        <v>91</v>
      </c>
      <c r="F23" s="62" t="s">
        <v>16</v>
      </c>
      <c r="G23" s="45">
        <f>SUM(G25,)</f>
        <v>1429.961</v>
      </c>
      <c r="H23" s="45">
        <f>SUM(H25,)</f>
        <v>1429.961</v>
      </c>
      <c r="I23" s="45">
        <f>SUM(I25,)</f>
        <v>1429.961</v>
      </c>
    </row>
    <row r="24" spans="1:15" x14ac:dyDescent="0.2">
      <c r="A24" s="63" t="s">
        <v>166</v>
      </c>
      <c r="B24" s="59"/>
      <c r="C24" s="56" t="s">
        <v>36</v>
      </c>
      <c r="D24" s="56" t="s">
        <v>39</v>
      </c>
      <c r="E24" s="43" t="s">
        <v>167</v>
      </c>
      <c r="F24" s="62"/>
      <c r="G24" s="45">
        <f>G23</f>
        <v>1429.961</v>
      </c>
      <c r="H24" s="45">
        <f>H23</f>
        <v>1429.961</v>
      </c>
      <c r="I24" s="45">
        <f>I23</f>
        <v>1429.961</v>
      </c>
    </row>
    <row r="25" spans="1:15" ht="25.5" x14ac:dyDescent="0.2">
      <c r="A25" s="54" t="s">
        <v>60</v>
      </c>
      <c r="B25" s="59"/>
      <c r="C25" s="94" t="s">
        <v>36</v>
      </c>
      <c r="D25" s="94" t="s">
        <v>39</v>
      </c>
      <c r="E25" s="94" t="s">
        <v>90</v>
      </c>
      <c r="F25" s="95"/>
      <c r="G25" s="96">
        <f>G26</f>
        <v>1429.961</v>
      </c>
      <c r="H25" s="96">
        <f>H26</f>
        <v>1429.961</v>
      </c>
      <c r="I25" s="96">
        <f>I26</f>
        <v>1429.961</v>
      </c>
    </row>
    <row r="26" spans="1:15" ht="26.25" customHeight="1" x14ac:dyDescent="0.2">
      <c r="A26" s="63" t="s">
        <v>223</v>
      </c>
      <c r="B26" s="57"/>
      <c r="C26" s="56" t="s">
        <v>36</v>
      </c>
      <c r="D26" s="56" t="s">
        <v>39</v>
      </c>
      <c r="E26" s="56" t="s">
        <v>90</v>
      </c>
      <c r="F26" s="62">
        <v>120</v>
      </c>
      <c r="G26" s="45">
        <v>1429.961</v>
      </c>
      <c r="H26" s="45">
        <v>1429.961</v>
      </c>
      <c r="I26" s="45">
        <v>1429.961</v>
      </c>
    </row>
    <row r="27" spans="1:15" ht="25.5" x14ac:dyDescent="0.2">
      <c r="A27" s="54" t="s">
        <v>59</v>
      </c>
      <c r="B27" s="97"/>
      <c r="C27" s="98" t="s">
        <v>36</v>
      </c>
      <c r="D27" s="98" t="s">
        <v>39</v>
      </c>
      <c r="E27" s="98" t="s">
        <v>86</v>
      </c>
      <c r="F27" s="55"/>
      <c r="G27" s="99">
        <f>G28+G30</f>
        <v>11277.254000000001</v>
      </c>
      <c r="H27" s="99">
        <f>H28+H30</f>
        <v>11778.861999999999</v>
      </c>
      <c r="I27" s="99">
        <f>I28+I30</f>
        <v>11829.082999999999</v>
      </c>
    </row>
    <row r="28" spans="1:15" ht="25.5" x14ac:dyDescent="0.2">
      <c r="A28" s="54" t="s">
        <v>60</v>
      </c>
      <c r="B28" s="97"/>
      <c r="C28" s="101" t="s">
        <v>36</v>
      </c>
      <c r="D28" s="101" t="s">
        <v>39</v>
      </c>
      <c r="E28" s="100" t="s">
        <v>92</v>
      </c>
      <c r="F28" s="100" t="s">
        <v>16</v>
      </c>
      <c r="G28" s="102">
        <f>G29</f>
        <v>8948.6149999999998</v>
      </c>
      <c r="H28" s="102">
        <f>H29</f>
        <v>9566.8549999999996</v>
      </c>
      <c r="I28" s="102">
        <f>I29</f>
        <v>9566.8549999999996</v>
      </c>
    </row>
    <row r="29" spans="1:15" ht="25.5" x14ac:dyDescent="0.2">
      <c r="A29" s="63" t="s">
        <v>85</v>
      </c>
      <c r="B29" s="97"/>
      <c r="C29" s="64" t="s">
        <v>36</v>
      </c>
      <c r="D29" s="64" t="s">
        <v>39</v>
      </c>
      <c r="E29" s="64" t="s">
        <v>92</v>
      </c>
      <c r="F29" s="42">
        <v>120</v>
      </c>
      <c r="G29" s="45">
        <f>9566.855-572-33+51.2-64.4-0.04</f>
        <v>8948.6149999999998</v>
      </c>
      <c r="H29" s="45">
        <v>9566.8549999999996</v>
      </c>
      <c r="I29" s="45">
        <v>9566.8549999999996</v>
      </c>
    </row>
    <row r="30" spans="1:15" ht="25.5" x14ac:dyDescent="0.2">
      <c r="A30" s="63" t="s">
        <v>221</v>
      </c>
      <c r="B30" s="97"/>
      <c r="C30" s="103" t="s">
        <v>36</v>
      </c>
      <c r="D30" s="103" t="s">
        <v>39</v>
      </c>
      <c r="E30" s="103" t="s">
        <v>87</v>
      </c>
      <c r="F30" s="104"/>
      <c r="G30" s="105">
        <f>G31+G32</f>
        <v>2328.6390000000006</v>
      </c>
      <c r="H30" s="105">
        <f>H31+H32</f>
        <v>2212.0070000000001</v>
      </c>
      <c r="I30" s="105">
        <f>I31+I32</f>
        <v>2262.2280000000001</v>
      </c>
    </row>
    <row r="31" spans="1:15" ht="25.5" x14ac:dyDescent="0.2">
      <c r="A31" s="41" t="s">
        <v>83</v>
      </c>
      <c r="B31" s="97"/>
      <c r="C31" s="64" t="s">
        <v>36</v>
      </c>
      <c r="D31" s="64" t="s">
        <v>39</v>
      </c>
      <c r="E31" s="64" t="s">
        <v>87</v>
      </c>
      <c r="F31" s="64" t="s">
        <v>84</v>
      </c>
      <c r="G31" s="77">
        <f>611.013+1513.568+114.4+81.058+6.8+1.5</f>
        <v>2328.3390000000004</v>
      </c>
      <c r="H31" s="77">
        <f>1571.549+637.458</f>
        <v>2209.0070000000001</v>
      </c>
      <c r="I31" s="77">
        <f>662.566+1596.662</f>
        <v>2259.2280000000001</v>
      </c>
    </row>
    <row r="32" spans="1:15" x14ac:dyDescent="0.2">
      <c r="A32" s="60" t="s">
        <v>82</v>
      </c>
      <c r="B32" s="97"/>
      <c r="C32" s="64" t="s">
        <v>36</v>
      </c>
      <c r="D32" s="64" t="s">
        <v>39</v>
      </c>
      <c r="E32" s="64" t="s">
        <v>87</v>
      </c>
      <c r="F32" s="64" t="s">
        <v>216</v>
      </c>
      <c r="G32" s="77">
        <f>3-2.7</f>
        <v>0.29999999999999982</v>
      </c>
      <c r="H32" s="77">
        <v>3</v>
      </c>
      <c r="I32" s="77">
        <v>3</v>
      </c>
    </row>
    <row r="33" spans="1:9" x14ac:dyDescent="0.2">
      <c r="A33" s="106" t="s">
        <v>52</v>
      </c>
      <c r="B33" s="97"/>
      <c r="C33" s="79" t="s">
        <v>36</v>
      </c>
      <c r="D33" s="79" t="s">
        <v>53</v>
      </c>
      <c r="E33" s="55"/>
      <c r="F33" s="64"/>
      <c r="G33" s="77">
        <f>G34</f>
        <v>39.200000000000003</v>
      </c>
      <c r="H33" s="77"/>
      <c r="I33" s="77"/>
    </row>
    <row r="34" spans="1:9" x14ac:dyDescent="0.2">
      <c r="A34" s="54" t="s">
        <v>61</v>
      </c>
      <c r="B34" s="97"/>
      <c r="C34" s="64" t="s">
        <v>36</v>
      </c>
      <c r="D34" s="64" t="s">
        <v>53</v>
      </c>
      <c r="E34" s="55" t="s">
        <v>93</v>
      </c>
      <c r="F34" s="64"/>
      <c r="G34" s="77">
        <f>G35</f>
        <v>39.200000000000003</v>
      </c>
      <c r="H34" s="77"/>
      <c r="I34" s="77"/>
    </row>
    <row r="35" spans="1:9" x14ac:dyDescent="0.2">
      <c r="A35" s="54" t="s">
        <v>81</v>
      </c>
      <c r="B35" s="97"/>
      <c r="C35" s="64" t="s">
        <v>36</v>
      </c>
      <c r="D35" s="64" t="s">
        <v>53</v>
      </c>
      <c r="E35" s="55" t="s">
        <v>94</v>
      </c>
      <c r="F35" s="64"/>
      <c r="G35" s="77">
        <f>G36</f>
        <v>39.200000000000003</v>
      </c>
      <c r="H35" s="77"/>
      <c r="I35" s="77"/>
    </row>
    <row r="36" spans="1:9" x14ac:dyDescent="0.2">
      <c r="A36" s="54" t="s">
        <v>81</v>
      </c>
      <c r="B36" s="97"/>
      <c r="C36" s="64" t="s">
        <v>36</v>
      </c>
      <c r="D36" s="64" t="s">
        <v>53</v>
      </c>
      <c r="E36" s="55" t="s">
        <v>111</v>
      </c>
      <c r="F36" s="64"/>
      <c r="G36" s="77">
        <f>G37</f>
        <v>39.200000000000003</v>
      </c>
      <c r="H36" s="77"/>
      <c r="I36" s="77"/>
    </row>
    <row r="37" spans="1:9" x14ac:dyDescent="0.2">
      <c r="A37" s="60" t="s">
        <v>288</v>
      </c>
      <c r="B37" s="97"/>
      <c r="C37" s="64" t="s">
        <v>36</v>
      </c>
      <c r="D37" s="64" t="s">
        <v>53</v>
      </c>
      <c r="E37" s="98" t="s">
        <v>287</v>
      </c>
      <c r="F37" s="64"/>
      <c r="G37" s="77">
        <f>G38</f>
        <v>39.200000000000003</v>
      </c>
      <c r="H37" s="77"/>
      <c r="I37" s="77"/>
    </row>
    <row r="38" spans="1:9" ht="25.5" x14ac:dyDescent="0.2">
      <c r="A38" s="41" t="s">
        <v>83</v>
      </c>
      <c r="B38" s="97"/>
      <c r="C38" s="64" t="s">
        <v>36</v>
      </c>
      <c r="D38" s="64" t="s">
        <v>53</v>
      </c>
      <c r="E38" s="98" t="s">
        <v>287</v>
      </c>
      <c r="F38" s="64" t="s">
        <v>84</v>
      </c>
      <c r="G38" s="77">
        <v>39.200000000000003</v>
      </c>
      <c r="H38" s="77"/>
      <c r="I38" s="77"/>
    </row>
    <row r="39" spans="1:9" ht="15" x14ac:dyDescent="0.25">
      <c r="A39" s="68" t="s">
        <v>19</v>
      </c>
      <c r="B39" s="55"/>
      <c r="C39" s="110" t="s">
        <v>36</v>
      </c>
      <c r="D39" s="110" t="s">
        <v>40</v>
      </c>
      <c r="E39" s="47"/>
      <c r="F39" s="47"/>
      <c r="G39" s="36">
        <f>SUM(G40)-0.04</f>
        <v>199.96</v>
      </c>
      <c r="H39" s="36">
        <f t="shared" ref="G39:I40" si="1">SUM(H40)</f>
        <v>200</v>
      </c>
      <c r="I39" s="36">
        <f t="shared" si="1"/>
        <v>200</v>
      </c>
    </row>
    <row r="40" spans="1:9" x14ac:dyDescent="0.2">
      <c r="A40" s="54" t="s">
        <v>61</v>
      </c>
      <c r="B40" s="55"/>
      <c r="C40" s="98" t="s">
        <v>36</v>
      </c>
      <c r="D40" s="98" t="s">
        <v>40</v>
      </c>
      <c r="E40" s="55" t="s">
        <v>93</v>
      </c>
      <c r="F40" s="55"/>
      <c r="G40" s="45">
        <f t="shared" si="1"/>
        <v>200</v>
      </c>
      <c r="H40" s="45">
        <f t="shared" si="1"/>
        <v>200</v>
      </c>
      <c r="I40" s="45">
        <f t="shared" si="1"/>
        <v>200</v>
      </c>
    </row>
    <row r="41" spans="1:9" x14ac:dyDescent="0.2">
      <c r="A41" s="54" t="s">
        <v>81</v>
      </c>
      <c r="B41" s="55"/>
      <c r="C41" s="98" t="s">
        <v>36</v>
      </c>
      <c r="D41" s="98" t="s">
        <v>40</v>
      </c>
      <c r="E41" s="55" t="s">
        <v>94</v>
      </c>
      <c r="F41" s="55" t="s">
        <v>16</v>
      </c>
      <c r="G41" s="45">
        <f>SUM(G44)</f>
        <v>200</v>
      </c>
      <c r="H41" s="45">
        <f>SUM(H44)</f>
        <v>200</v>
      </c>
      <c r="I41" s="45">
        <f>SUM(I44)</f>
        <v>200</v>
      </c>
    </row>
    <row r="42" spans="1:9" x14ac:dyDescent="0.2">
      <c r="A42" s="54" t="s">
        <v>81</v>
      </c>
      <c r="B42" s="55"/>
      <c r="C42" s="98" t="s">
        <v>36</v>
      </c>
      <c r="D42" s="98" t="s">
        <v>40</v>
      </c>
      <c r="E42" s="55" t="s">
        <v>111</v>
      </c>
      <c r="F42" s="55"/>
      <c r="G42" s="45">
        <f t="shared" ref="G42:I43" si="2">G43</f>
        <v>200</v>
      </c>
      <c r="H42" s="45">
        <f t="shared" si="2"/>
        <v>200</v>
      </c>
      <c r="I42" s="45">
        <f t="shared" si="2"/>
        <v>200</v>
      </c>
    </row>
    <row r="43" spans="1:9" x14ac:dyDescent="0.2">
      <c r="A43" s="54" t="s">
        <v>63</v>
      </c>
      <c r="B43" s="55"/>
      <c r="C43" s="98" t="s">
        <v>36</v>
      </c>
      <c r="D43" s="98" t="s">
        <v>40</v>
      </c>
      <c r="E43" s="98" t="s">
        <v>95</v>
      </c>
      <c r="F43" s="98" t="s">
        <v>16</v>
      </c>
      <c r="G43" s="45">
        <f t="shared" si="2"/>
        <v>200</v>
      </c>
      <c r="H43" s="45">
        <f t="shared" si="2"/>
        <v>200</v>
      </c>
      <c r="I43" s="45">
        <f t="shared" si="2"/>
        <v>200</v>
      </c>
    </row>
    <row r="44" spans="1:9" x14ac:dyDescent="0.2">
      <c r="A44" s="54" t="s">
        <v>63</v>
      </c>
      <c r="B44" s="55"/>
      <c r="C44" s="98" t="s">
        <v>36</v>
      </c>
      <c r="D44" s="98" t="s">
        <v>40</v>
      </c>
      <c r="E44" s="98" t="s">
        <v>95</v>
      </c>
      <c r="F44" s="98" t="s">
        <v>64</v>
      </c>
      <c r="G44" s="45">
        <v>200</v>
      </c>
      <c r="H44" s="45">
        <v>200</v>
      </c>
      <c r="I44" s="45">
        <v>200</v>
      </c>
    </row>
    <row r="45" spans="1:9" ht="15.75" customHeight="1" x14ac:dyDescent="0.25">
      <c r="A45" s="37" t="s">
        <v>24</v>
      </c>
      <c r="B45" s="59"/>
      <c r="C45" s="49" t="s">
        <v>36</v>
      </c>
      <c r="D45" s="49" t="s">
        <v>41</v>
      </c>
      <c r="E45" s="49"/>
      <c r="F45" s="49"/>
      <c r="G45" s="36">
        <f>G47+G51-0.1</f>
        <v>1032.251</v>
      </c>
      <c r="H45" s="36">
        <f>H47+H51</f>
        <v>1269.9209999999998</v>
      </c>
      <c r="I45" s="36">
        <f>I47+I51</f>
        <v>1278.058</v>
      </c>
    </row>
    <row r="46" spans="1:9" ht="28.5" customHeight="1" x14ac:dyDescent="0.25">
      <c r="A46" s="54" t="s">
        <v>120</v>
      </c>
      <c r="B46" s="59"/>
      <c r="C46" s="56" t="s">
        <v>36</v>
      </c>
      <c r="D46" s="56" t="s">
        <v>41</v>
      </c>
      <c r="E46" s="42" t="s">
        <v>116</v>
      </c>
      <c r="F46" s="49"/>
      <c r="G46" s="36">
        <f>G47</f>
        <v>0</v>
      </c>
      <c r="H46" s="36">
        <f>H47</f>
        <v>0</v>
      </c>
      <c r="I46" s="36">
        <f>I47</f>
        <v>0</v>
      </c>
    </row>
    <row r="47" spans="1:9" ht="39" customHeight="1" x14ac:dyDescent="0.2">
      <c r="A47" s="60" t="s">
        <v>168</v>
      </c>
      <c r="B47" s="61"/>
      <c r="C47" s="56" t="s">
        <v>36</v>
      </c>
      <c r="D47" s="56" t="s">
        <v>41</v>
      </c>
      <c r="E47" s="42" t="s">
        <v>136</v>
      </c>
      <c r="F47" s="62" t="s">
        <v>16</v>
      </c>
      <c r="G47" s="45">
        <f>SUM(G48)</f>
        <v>0</v>
      </c>
      <c r="H47" s="45">
        <f>SUM(H48)</f>
        <v>0</v>
      </c>
      <c r="I47" s="45">
        <f>SUM(I48)</f>
        <v>0</v>
      </c>
    </row>
    <row r="48" spans="1:9" ht="24.75" customHeight="1" x14ac:dyDescent="0.2">
      <c r="A48" s="54" t="s">
        <v>141</v>
      </c>
      <c r="B48" s="59"/>
      <c r="C48" s="56" t="s">
        <v>36</v>
      </c>
      <c r="D48" s="56" t="s">
        <v>41</v>
      </c>
      <c r="E48" s="42" t="s">
        <v>137</v>
      </c>
      <c r="F48" s="62" t="s">
        <v>16</v>
      </c>
      <c r="G48" s="45">
        <f>SUM(G50)</f>
        <v>0</v>
      </c>
      <c r="H48" s="45">
        <f>SUM(H50)</f>
        <v>0</v>
      </c>
      <c r="I48" s="45">
        <f>SUM(I50)</f>
        <v>0</v>
      </c>
    </row>
    <row r="49" spans="1:9" ht="26.25" customHeight="1" x14ac:dyDescent="0.2">
      <c r="A49" s="41" t="s">
        <v>143</v>
      </c>
      <c r="B49" s="59"/>
      <c r="C49" s="56" t="s">
        <v>36</v>
      </c>
      <c r="D49" s="56" t="s">
        <v>41</v>
      </c>
      <c r="E49" s="42" t="s">
        <v>142</v>
      </c>
      <c r="F49" s="62"/>
      <c r="G49" s="45">
        <f>G50</f>
        <v>0</v>
      </c>
      <c r="H49" s="45">
        <f>H50</f>
        <v>0</v>
      </c>
      <c r="I49" s="45">
        <f>I50</f>
        <v>0</v>
      </c>
    </row>
    <row r="50" spans="1:9" ht="15.75" customHeight="1" x14ac:dyDescent="0.2">
      <c r="A50" s="63" t="s">
        <v>144</v>
      </c>
      <c r="B50" s="59"/>
      <c r="C50" s="56" t="s">
        <v>36</v>
      </c>
      <c r="D50" s="56" t="s">
        <v>41</v>
      </c>
      <c r="E50" s="64" t="s">
        <v>140</v>
      </c>
      <c r="F50" s="42">
        <v>110</v>
      </c>
      <c r="G50" s="45"/>
      <c r="H50" s="45"/>
      <c r="I50" s="45"/>
    </row>
    <row r="51" spans="1:9" x14ac:dyDescent="0.2">
      <c r="A51" s="54" t="s">
        <v>61</v>
      </c>
      <c r="B51" s="55"/>
      <c r="C51" s="98" t="s">
        <v>36</v>
      </c>
      <c r="D51" s="98" t="s">
        <v>41</v>
      </c>
      <c r="E51" s="98" t="s">
        <v>93</v>
      </c>
      <c r="F51" s="56"/>
      <c r="G51" s="45">
        <f>G52</f>
        <v>1032.3509999999999</v>
      </c>
      <c r="H51" s="45">
        <f>H52</f>
        <v>1269.9209999999998</v>
      </c>
      <c r="I51" s="45">
        <f>I52</f>
        <v>1278.058</v>
      </c>
    </row>
    <row r="52" spans="1:9" x14ac:dyDescent="0.2">
      <c r="A52" s="54" t="s">
        <v>81</v>
      </c>
      <c r="B52" s="55"/>
      <c r="C52" s="98" t="s">
        <v>36</v>
      </c>
      <c r="D52" s="98" t="s">
        <v>41</v>
      </c>
      <c r="E52" s="98" t="s">
        <v>94</v>
      </c>
      <c r="F52" s="56"/>
      <c r="G52" s="45">
        <f>G54+G57+G63+G65+G67+G69+G71+G73+G59+G61</f>
        <v>1032.3509999999999</v>
      </c>
      <c r="H52" s="45">
        <f>H54+H57+H63+H65+H67+H69+H71+H73+H59+H61</f>
        <v>1269.9209999999998</v>
      </c>
      <c r="I52" s="45">
        <f>I54+I57+I63+I65+I67+I69+I71+I73+I59+I61</f>
        <v>1278.058</v>
      </c>
    </row>
    <row r="53" spans="1:9" x14ac:dyDescent="0.2">
      <c r="A53" s="54" t="s">
        <v>81</v>
      </c>
      <c r="B53" s="55"/>
      <c r="C53" s="98" t="s">
        <v>36</v>
      </c>
      <c r="D53" s="98" t="s">
        <v>41</v>
      </c>
      <c r="E53" s="98" t="s">
        <v>111</v>
      </c>
      <c r="F53" s="56"/>
      <c r="G53" s="45">
        <f>G52</f>
        <v>1032.3509999999999</v>
      </c>
      <c r="H53" s="45">
        <f>H52</f>
        <v>1269.9209999999998</v>
      </c>
      <c r="I53" s="45">
        <f>I52</f>
        <v>1278.058</v>
      </c>
    </row>
    <row r="54" spans="1:9" ht="25.5" x14ac:dyDescent="0.2">
      <c r="A54" s="54" t="s">
        <v>224</v>
      </c>
      <c r="B54" s="55"/>
      <c r="C54" s="64" t="s">
        <v>36</v>
      </c>
      <c r="D54" s="64" t="s">
        <v>41</v>
      </c>
      <c r="E54" s="64" t="s">
        <v>96</v>
      </c>
      <c r="F54" s="42"/>
      <c r="G54" s="45">
        <f>G55+G56</f>
        <v>417.93799999999999</v>
      </c>
      <c r="H54" s="45">
        <f>H55+H56</f>
        <v>116.714</v>
      </c>
      <c r="I54" s="45">
        <f>I55+I56</f>
        <v>116.714</v>
      </c>
    </row>
    <row r="55" spans="1:9" ht="25.5" x14ac:dyDescent="0.2">
      <c r="A55" s="41" t="s">
        <v>83</v>
      </c>
      <c r="B55" s="42"/>
      <c r="C55" s="64" t="s">
        <v>36</v>
      </c>
      <c r="D55" s="64" t="s">
        <v>41</v>
      </c>
      <c r="E55" s="64" t="s">
        <v>96</v>
      </c>
      <c r="F55" s="42">
        <v>240</v>
      </c>
      <c r="G55" s="45">
        <f>128.938-71.8+17+6.5</f>
        <v>80.637999999999991</v>
      </c>
      <c r="H55" s="45">
        <v>112.114</v>
      </c>
      <c r="I55" s="45">
        <v>112.114</v>
      </c>
    </row>
    <row r="56" spans="1:9" x14ac:dyDescent="0.2">
      <c r="A56" s="60" t="s">
        <v>82</v>
      </c>
      <c r="B56" s="42"/>
      <c r="C56" s="64" t="s">
        <v>36</v>
      </c>
      <c r="D56" s="64" t="s">
        <v>41</v>
      </c>
      <c r="E56" s="64" t="s">
        <v>96</v>
      </c>
      <c r="F56" s="42">
        <v>850</v>
      </c>
      <c r="G56" s="45">
        <f>4.6+200+135.9-3.2</f>
        <v>337.3</v>
      </c>
      <c r="H56" s="45">
        <v>4.5999999999999996</v>
      </c>
      <c r="I56" s="45">
        <v>4.5999999999999996</v>
      </c>
    </row>
    <row r="57" spans="1:9" x14ac:dyDescent="0.2">
      <c r="A57" s="41" t="s">
        <v>50</v>
      </c>
      <c r="B57" s="59"/>
      <c r="C57" s="56" t="s">
        <v>36</v>
      </c>
      <c r="D57" s="56" t="s">
        <v>41</v>
      </c>
      <c r="E57" s="64" t="s">
        <v>97</v>
      </c>
      <c r="F57" s="42"/>
      <c r="G57" s="45">
        <f>G58</f>
        <v>2.8000000000020009E-2</v>
      </c>
      <c r="H57" s="45">
        <f>H58</f>
        <v>500</v>
      </c>
      <c r="I57" s="45">
        <f>I58</f>
        <v>500</v>
      </c>
    </row>
    <row r="58" spans="1:9" ht="25.5" x14ac:dyDescent="0.2">
      <c r="A58" s="41" t="s">
        <v>83</v>
      </c>
      <c r="B58" s="59"/>
      <c r="C58" s="56" t="s">
        <v>36</v>
      </c>
      <c r="D58" s="56" t="s">
        <v>41</v>
      </c>
      <c r="E58" s="64" t="s">
        <v>97</v>
      </c>
      <c r="F58" s="42">
        <v>240</v>
      </c>
      <c r="G58" s="45">
        <f>200+428-100-212.072-315.9</f>
        <v>2.8000000000020009E-2</v>
      </c>
      <c r="H58" s="45">
        <v>500</v>
      </c>
      <c r="I58" s="45">
        <v>500</v>
      </c>
    </row>
    <row r="59" spans="1:9" ht="17.25" customHeight="1" x14ac:dyDescent="0.2">
      <c r="A59" s="41" t="s">
        <v>225</v>
      </c>
      <c r="B59" s="75"/>
      <c r="C59" s="56" t="s">
        <v>36</v>
      </c>
      <c r="D59" s="56" t="s">
        <v>41</v>
      </c>
      <c r="E59" s="64" t="s">
        <v>98</v>
      </c>
      <c r="F59" s="42"/>
      <c r="G59" s="45">
        <f>G60</f>
        <v>53</v>
      </c>
      <c r="H59" s="45">
        <f>H60</f>
        <v>150</v>
      </c>
      <c r="I59" s="45">
        <f>I60</f>
        <v>150</v>
      </c>
    </row>
    <row r="60" spans="1:9" ht="25.5" x14ac:dyDescent="0.2">
      <c r="A60" s="41" t="s">
        <v>83</v>
      </c>
      <c r="B60" s="75"/>
      <c r="C60" s="56" t="s">
        <v>36</v>
      </c>
      <c r="D60" s="56" t="s">
        <v>41</v>
      </c>
      <c r="E60" s="64" t="s">
        <v>98</v>
      </c>
      <c r="F60" s="42">
        <v>240</v>
      </c>
      <c r="G60" s="45">
        <f>50+3</f>
        <v>53</v>
      </c>
      <c r="H60" s="45">
        <v>150</v>
      </c>
      <c r="I60" s="45">
        <v>150</v>
      </c>
    </row>
    <row r="61" spans="1:9" ht="25.5" x14ac:dyDescent="0.2">
      <c r="A61" s="41" t="s">
        <v>215</v>
      </c>
      <c r="B61" s="75"/>
      <c r="C61" s="56" t="s">
        <v>36</v>
      </c>
      <c r="D61" s="56" t="s">
        <v>41</v>
      </c>
      <c r="E61" s="64" t="s">
        <v>214</v>
      </c>
      <c r="F61" s="42"/>
      <c r="G61" s="45">
        <f>G62</f>
        <v>0</v>
      </c>
      <c r="H61" s="45">
        <f>H62</f>
        <v>150</v>
      </c>
      <c r="I61" s="45">
        <f>I62</f>
        <v>150</v>
      </c>
    </row>
    <row r="62" spans="1:9" ht="25.5" x14ac:dyDescent="0.2">
      <c r="A62" s="41" t="s">
        <v>83</v>
      </c>
      <c r="B62" s="59"/>
      <c r="C62" s="56" t="s">
        <v>36</v>
      </c>
      <c r="D62" s="56" t="s">
        <v>41</v>
      </c>
      <c r="E62" s="64" t="s">
        <v>214</v>
      </c>
      <c r="F62" s="42">
        <v>240</v>
      </c>
      <c r="G62" s="45">
        <f>50-40-10</f>
        <v>0</v>
      </c>
      <c r="H62" s="45">
        <v>150</v>
      </c>
      <c r="I62" s="45">
        <v>150</v>
      </c>
    </row>
    <row r="63" spans="1:9" ht="13.5" customHeight="1" x14ac:dyDescent="0.2">
      <c r="A63" s="41" t="s">
        <v>226</v>
      </c>
      <c r="B63" s="59"/>
      <c r="C63" s="56" t="s">
        <v>36</v>
      </c>
      <c r="D63" s="56" t="s">
        <v>41</v>
      </c>
      <c r="E63" s="64" t="s">
        <v>99</v>
      </c>
      <c r="F63" s="42"/>
      <c r="G63" s="45">
        <f>G64</f>
        <v>115.8</v>
      </c>
      <c r="H63" s="45">
        <f>H64</f>
        <v>115.8</v>
      </c>
      <c r="I63" s="45">
        <f>I64</f>
        <v>115.8</v>
      </c>
    </row>
    <row r="64" spans="1:9" ht="30" customHeight="1" x14ac:dyDescent="0.2">
      <c r="A64" s="41" t="s">
        <v>83</v>
      </c>
      <c r="B64" s="59"/>
      <c r="C64" s="56" t="s">
        <v>36</v>
      </c>
      <c r="D64" s="56" t="s">
        <v>41</v>
      </c>
      <c r="E64" s="64" t="s">
        <v>99</v>
      </c>
      <c r="F64" s="42">
        <v>240</v>
      </c>
      <c r="G64" s="45">
        <v>115.8</v>
      </c>
      <c r="H64" s="45">
        <v>115.8</v>
      </c>
      <c r="I64" s="45">
        <v>115.8</v>
      </c>
    </row>
    <row r="65" spans="1:9" ht="27.6" customHeight="1" x14ac:dyDescent="0.2">
      <c r="A65" s="41" t="s">
        <v>65</v>
      </c>
      <c r="B65" s="59"/>
      <c r="C65" s="56" t="s">
        <v>36</v>
      </c>
      <c r="D65" s="56" t="s">
        <v>41</v>
      </c>
      <c r="E65" s="64" t="s">
        <v>100</v>
      </c>
      <c r="F65" s="42"/>
      <c r="G65" s="45">
        <f>G66</f>
        <v>6.2320000000000002</v>
      </c>
      <c r="H65" s="45">
        <f>H66</f>
        <v>6.5579999999999998</v>
      </c>
      <c r="I65" s="45">
        <f>I66</f>
        <v>6.8209999999999997</v>
      </c>
    </row>
    <row r="66" spans="1:9" x14ac:dyDescent="0.2">
      <c r="A66" s="60" t="s">
        <v>82</v>
      </c>
      <c r="B66" s="59"/>
      <c r="C66" s="56" t="s">
        <v>36</v>
      </c>
      <c r="D66" s="56" t="s">
        <v>41</v>
      </c>
      <c r="E66" s="64" t="s">
        <v>100</v>
      </c>
      <c r="F66" s="42">
        <v>850</v>
      </c>
      <c r="G66" s="45">
        <f>6.282-0.05</f>
        <v>6.2320000000000002</v>
      </c>
      <c r="H66" s="45">
        <v>6.5579999999999998</v>
      </c>
      <c r="I66" s="45">
        <v>6.8209999999999997</v>
      </c>
    </row>
    <row r="67" spans="1:9" ht="25.5" x14ac:dyDescent="0.2">
      <c r="A67" s="41" t="s">
        <v>66</v>
      </c>
      <c r="B67" s="59"/>
      <c r="C67" s="56" t="s">
        <v>36</v>
      </c>
      <c r="D67" s="56" t="s">
        <v>41</v>
      </c>
      <c r="E67" s="64" t="s">
        <v>101</v>
      </c>
      <c r="F67" s="42"/>
      <c r="G67" s="45">
        <f>G68</f>
        <v>414.91800000000001</v>
      </c>
      <c r="H67" s="45">
        <f>H68</f>
        <v>191.38399999999999</v>
      </c>
      <c r="I67" s="45">
        <f>I68</f>
        <v>199.03899999999999</v>
      </c>
    </row>
    <row r="68" spans="1:9" ht="25.5" x14ac:dyDescent="0.2">
      <c r="A68" s="41" t="s">
        <v>83</v>
      </c>
      <c r="B68" s="59"/>
      <c r="C68" s="56" t="s">
        <v>36</v>
      </c>
      <c r="D68" s="56" t="s">
        <v>41</v>
      </c>
      <c r="E68" s="64" t="s">
        <v>101</v>
      </c>
      <c r="F68" s="42">
        <v>240</v>
      </c>
      <c r="G68" s="45">
        <f>183.318+49+200-17.4</f>
        <v>414.91800000000001</v>
      </c>
      <c r="H68" s="45">
        <v>191.38399999999999</v>
      </c>
      <c r="I68" s="45">
        <v>199.03899999999999</v>
      </c>
    </row>
    <row r="69" spans="1:9" ht="51" x14ac:dyDescent="0.2">
      <c r="A69" s="60" t="s">
        <v>227</v>
      </c>
      <c r="B69" s="59"/>
      <c r="C69" s="56" t="s">
        <v>36</v>
      </c>
      <c r="D69" s="56" t="s">
        <v>41</v>
      </c>
      <c r="E69" s="64" t="s">
        <v>105</v>
      </c>
      <c r="F69" s="42"/>
      <c r="G69" s="45">
        <f>G70</f>
        <v>24</v>
      </c>
      <c r="H69" s="45">
        <f>H70</f>
        <v>24</v>
      </c>
      <c r="I69" s="45">
        <f>I70</f>
        <v>24</v>
      </c>
    </row>
    <row r="70" spans="1:9" x14ac:dyDescent="0.2">
      <c r="A70" s="41" t="s">
        <v>56</v>
      </c>
      <c r="B70" s="59"/>
      <c r="C70" s="56" t="s">
        <v>36</v>
      </c>
      <c r="D70" s="56" t="s">
        <v>41</v>
      </c>
      <c r="E70" s="64" t="s">
        <v>105</v>
      </c>
      <c r="F70" s="42">
        <v>540</v>
      </c>
      <c r="G70" s="45">
        <v>24</v>
      </c>
      <c r="H70" s="45">
        <v>24</v>
      </c>
      <c r="I70" s="45">
        <v>24</v>
      </c>
    </row>
    <row r="71" spans="1:9" x14ac:dyDescent="0.2">
      <c r="A71" s="41" t="s">
        <v>68</v>
      </c>
      <c r="B71" s="59"/>
      <c r="C71" s="56" t="s">
        <v>36</v>
      </c>
      <c r="D71" s="56" t="s">
        <v>41</v>
      </c>
      <c r="E71" s="64" t="s">
        <v>103</v>
      </c>
      <c r="F71" s="42"/>
      <c r="G71" s="45">
        <f>G72</f>
        <v>0</v>
      </c>
      <c r="H71" s="45">
        <f>H72</f>
        <v>10</v>
      </c>
      <c r="I71" s="45">
        <f>I72</f>
        <v>10</v>
      </c>
    </row>
    <row r="72" spans="1:9" ht="25.5" x14ac:dyDescent="0.2">
      <c r="A72" s="41" t="s">
        <v>83</v>
      </c>
      <c r="B72" s="59"/>
      <c r="C72" s="56" t="s">
        <v>36</v>
      </c>
      <c r="D72" s="56" t="s">
        <v>41</v>
      </c>
      <c r="E72" s="64" t="s">
        <v>103</v>
      </c>
      <c r="F72" s="42">
        <v>240</v>
      </c>
      <c r="G72" s="45">
        <f>10-10</f>
        <v>0</v>
      </c>
      <c r="H72" s="45">
        <v>10</v>
      </c>
      <c r="I72" s="45">
        <v>10</v>
      </c>
    </row>
    <row r="73" spans="1:9" ht="25.5" x14ac:dyDescent="0.2">
      <c r="A73" s="41" t="s">
        <v>67</v>
      </c>
      <c r="B73" s="59"/>
      <c r="C73" s="56" t="s">
        <v>36</v>
      </c>
      <c r="D73" s="56" t="s">
        <v>41</v>
      </c>
      <c r="E73" s="64" t="s">
        <v>102</v>
      </c>
      <c r="F73" s="42"/>
      <c r="G73" s="45">
        <f>G74</f>
        <v>0.4350000000000005</v>
      </c>
      <c r="H73" s="45">
        <f>H74</f>
        <v>5.4649999999999999</v>
      </c>
      <c r="I73" s="45">
        <f>I74</f>
        <v>5.6840000000000002</v>
      </c>
    </row>
    <row r="74" spans="1:9" ht="25.5" x14ac:dyDescent="0.2">
      <c r="A74" s="41" t="s">
        <v>83</v>
      </c>
      <c r="B74" s="59"/>
      <c r="C74" s="56" t="s">
        <v>36</v>
      </c>
      <c r="D74" s="56" t="s">
        <v>41</v>
      </c>
      <c r="E74" s="64" t="s">
        <v>102</v>
      </c>
      <c r="F74" s="42">
        <v>240</v>
      </c>
      <c r="G74" s="45">
        <f>5.235-4.8</f>
        <v>0.4350000000000005</v>
      </c>
      <c r="H74" s="45">
        <v>5.4649999999999999</v>
      </c>
      <c r="I74" s="45">
        <v>5.6840000000000002</v>
      </c>
    </row>
    <row r="75" spans="1:9" x14ac:dyDescent="0.2">
      <c r="A75" s="37" t="s">
        <v>14</v>
      </c>
      <c r="B75" s="50">
        <v>911</v>
      </c>
      <c r="C75" s="39" t="s">
        <v>42</v>
      </c>
      <c r="D75" s="39" t="s">
        <v>37</v>
      </c>
      <c r="E75" s="39"/>
      <c r="F75" s="39"/>
      <c r="G75" s="40">
        <f t="shared" ref="G75:I78" si="3">SUM(G76)</f>
        <v>254.4</v>
      </c>
      <c r="H75" s="40">
        <f t="shared" si="3"/>
        <v>0</v>
      </c>
      <c r="I75" s="40">
        <f t="shared" si="3"/>
        <v>0</v>
      </c>
    </row>
    <row r="76" spans="1:9" x14ac:dyDescent="0.2">
      <c r="A76" s="41" t="s">
        <v>20</v>
      </c>
      <c r="B76" s="85"/>
      <c r="C76" s="56" t="s">
        <v>42</v>
      </c>
      <c r="D76" s="56" t="s">
        <v>38</v>
      </c>
      <c r="E76" s="56"/>
      <c r="F76" s="56"/>
      <c r="G76" s="45">
        <f t="shared" si="3"/>
        <v>254.4</v>
      </c>
      <c r="H76" s="45">
        <f t="shared" si="3"/>
        <v>0</v>
      </c>
      <c r="I76" s="45">
        <f t="shared" si="3"/>
        <v>0</v>
      </c>
    </row>
    <row r="77" spans="1:9" x14ac:dyDescent="0.2">
      <c r="A77" s="54" t="s">
        <v>61</v>
      </c>
      <c r="B77" s="55"/>
      <c r="C77" s="56" t="s">
        <v>42</v>
      </c>
      <c r="D77" s="56" t="s">
        <v>38</v>
      </c>
      <c r="E77" s="55" t="s">
        <v>93</v>
      </c>
      <c r="F77" s="56"/>
      <c r="G77" s="45">
        <f t="shared" si="3"/>
        <v>254.4</v>
      </c>
      <c r="H77" s="45">
        <f t="shared" si="3"/>
        <v>0</v>
      </c>
      <c r="I77" s="45">
        <f t="shared" si="3"/>
        <v>0</v>
      </c>
    </row>
    <row r="78" spans="1:9" x14ac:dyDescent="0.2">
      <c r="A78" s="54" t="s">
        <v>81</v>
      </c>
      <c r="B78" s="57"/>
      <c r="C78" s="56" t="s">
        <v>42</v>
      </c>
      <c r="D78" s="56" t="s">
        <v>38</v>
      </c>
      <c r="E78" s="55" t="s">
        <v>94</v>
      </c>
      <c r="F78" s="56"/>
      <c r="G78" s="45">
        <f>SUM(G79)+G81</f>
        <v>254.4</v>
      </c>
      <c r="H78" s="45">
        <f t="shared" si="3"/>
        <v>0</v>
      </c>
      <c r="I78" s="45">
        <f t="shared" si="3"/>
        <v>0</v>
      </c>
    </row>
    <row r="79" spans="1:9" ht="29.1" customHeight="1" x14ac:dyDescent="0.2">
      <c r="A79" s="41" t="s">
        <v>33</v>
      </c>
      <c r="B79" s="122"/>
      <c r="C79" s="56" t="s">
        <v>42</v>
      </c>
      <c r="D79" s="56" t="s">
        <v>38</v>
      </c>
      <c r="E79" s="42" t="s">
        <v>106</v>
      </c>
      <c r="F79" s="123"/>
      <c r="G79" s="45">
        <f>G80</f>
        <v>230.8</v>
      </c>
      <c r="H79" s="45">
        <f>H80</f>
        <v>0</v>
      </c>
      <c r="I79" s="45">
        <f>I80</f>
        <v>0</v>
      </c>
    </row>
    <row r="80" spans="1:9" ht="15" customHeight="1" x14ac:dyDescent="0.2">
      <c r="A80" s="63" t="s">
        <v>85</v>
      </c>
      <c r="B80" s="122"/>
      <c r="C80" s="56" t="s">
        <v>42</v>
      </c>
      <c r="D80" s="56" t="s">
        <v>38</v>
      </c>
      <c r="E80" s="55" t="s">
        <v>106</v>
      </c>
      <c r="F80" s="42">
        <v>120</v>
      </c>
      <c r="G80" s="45">
        <v>230.8</v>
      </c>
      <c r="H80" s="45"/>
      <c r="I80" s="45"/>
    </row>
    <row r="81" spans="1:10" ht="25.5" x14ac:dyDescent="0.2">
      <c r="A81" s="41" t="s">
        <v>83</v>
      </c>
      <c r="B81" s="122"/>
      <c r="C81" s="56" t="s">
        <v>42</v>
      </c>
      <c r="D81" s="56" t="s">
        <v>38</v>
      </c>
      <c r="E81" s="55" t="s">
        <v>106</v>
      </c>
      <c r="F81" s="42">
        <v>240</v>
      </c>
      <c r="G81" s="45">
        <f>22+1.6</f>
        <v>23.6</v>
      </c>
      <c r="H81" s="45"/>
      <c r="I81" s="45"/>
    </row>
    <row r="82" spans="1:10" ht="29.25" x14ac:dyDescent="0.25">
      <c r="A82" s="33" t="s">
        <v>32</v>
      </c>
      <c r="B82" s="50">
        <v>911</v>
      </c>
      <c r="C82" s="49" t="s">
        <v>38</v>
      </c>
      <c r="D82" s="49" t="s">
        <v>37</v>
      </c>
      <c r="E82" s="49"/>
      <c r="F82" s="49"/>
      <c r="G82" s="36">
        <f>G83+G89</f>
        <v>579</v>
      </c>
      <c r="H82" s="36">
        <f>H83+H89</f>
        <v>1098</v>
      </c>
      <c r="I82" s="36">
        <f>I83+I89</f>
        <v>958</v>
      </c>
    </row>
    <row r="83" spans="1:10" ht="25.5" customHeight="1" x14ac:dyDescent="0.2">
      <c r="A83" s="37" t="s">
        <v>31</v>
      </c>
      <c r="B83" s="57"/>
      <c r="C83" s="56" t="s">
        <v>38</v>
      </c>
      <c r="D83" s="56" t="s">
        <v>43</v>
      </c>
      <c r="E83" s="56"/>
      <c r="F83" s="56"/>
      <c r="G83" s="45">
        <f>G84</f>
        <v>85.1</v>
      </c>
      <c r="H83" s="45">
        <f t="shared" ref="H83:I85" si="4">H84</f>
        <v>630</v>
      </c>
      <c r="I83" s="45">
        <f t="shared" si="4"/>
        <v>490</v>
      </c>
    </row>
    <row r="84" spans="1:10" ht="38.25" x14ac:dyDescent="0.2">
      <c r="A84" s="54" t="s">
        <v>107</v>
      </c>
      <c r="B84" s="55"/>
      <c r="C84" s="56" t="s">
        <v>38</v>
      </c>
      <c r="D84" s="56" t="s">
        <v>43</v>
      </c>
      <c r="E84" s="42" t="s">
        <v>108</v>
      </c>
      <c r="F84" s="56"/>
      <c r="G84" s="45">
        <f>G85</f>
        <v>85.1</v>
      </c>
      <c r="H84" s="45">
        <f t="shared" si="4"/>
        <v>630</v>
      </c>
      <c r="I84" s="45">
        <f t="shared" si="4"/>
        <v>490</v>
      </c>
    </row>
    <row r="85" spans="1:10" ht="30" customHeight="1" x14ac:dyDescent="0.2">
      <c r="A85" s="54" t="s">
        <v>230</v>
      </c>
      <c r="B85" s="55"/>
      <c r="C85" s="56" t="s">
        <v>38</v>
      </c>
      <c r="D85" s="56" t="s">
        <v>43</v>
      </c>
      <c r="E85" s="42" t="s">
        <v>109</v>
      </c>
      <c r="F85" s="56"/>
      <c r="G85" s="45">
        <f>G86</f>
        <v>85.1</v>
      </c>
      <c r="H85" s="45">
        <f t="shared" si="4"/>
        <v>630</v>
      </c>
      <c r="I85" s="45">
        <f t="shared" si="4"/>
        <v>490</v>
      </c>
    </row>
    <row r="86" spans="1:10" ht="51" x14ac:dyDescent="0.2">
      <c r="A86" s="54" t="s">
        <v>201</v>
      </c>
      <c r="B86" s="57"/>
      <c r="C86" s="56" t="s">
        <v>38</v>
      </c>
      <c r="D86" s="56" t="s">
        <v>43</v>
      </c>
      <c r="E86" s="42" t="s">
        <v>110</v>
      </c>
      <c r="F86" s="56"/>
      <c r="G86" s="45">
        <f>SUM(G88)</f>
        <v>85.1</v>
      </c>
      <c r="H86" s="45">
        <f>SUM(H88)</f>
        <v>630</v>
      </c>
      <c r="I86" s="45">
        <f>SUM(I88)</f>
        <v>490</v>
      </c>
    </row>
    <row r="87" spans="1:10" x14ac:dyDescent="0.2">
      <c r="A87" s="54" t="s">
        <v>177</v>
      </c>
      <c r="B87" s="57"/>
      <c r="C87" s="56" t="s">
        <v>38</v>
      </c>
      <c r="D87" s="56" t="s">
        <v>43</v>
      </c>
      <c r="E87" s="42" t="s">
        <v>145</v>
      </c>
      <c r="F87" s="56"/>
      <c r="G87" s="45">
        <f>G88</f>
        <v>85.1</v>
      </c>
      <c r="H87" s="45">
        <f>H88</f>
        <v>630</v>
      </c>
      <c r="I87" s="45">
        <f>I88</f>
        <v>490</v>
      </c>
    </row>
    <row r="88" spans="1:10" ht="25.5" x14ac:dyDescent="0.2">
      <c r="A88" s="41" t="s">
        <v>83</v>
      </c>
      <c r="B88" s="57"/>
      <c r="C88" s="56" t="s">
        <v>38</v>
      </c>
      <c r="D88" s="56" t="s">
        <v>43</v>
      </c>
      <c r="E88" s="42" t="s">
        <v>145</v>
      </c>
      <c r="F88" s="44" t="s">
        <v>84</v>
      </c>
      <c r="G88" s="45">
        <f>379-120-173.9</f>
        <v>85.1</v>
      </c>
      <c r="H88" s="45">
        <v>630</v>
      </c>
      <c r="I88" s="45">
        <v>490</v>
      </c>
    </row>
    <row r="89" spans="1:10" ht="25.5" x14ac:dyDescent="0.2">
      <c r="A89" s="37" t="s">
        <v>228</v>
      </c>
      <c r="B89" s="57"/>
      <c r="C89" s="43" t="s">
        <v>38</v>
      </c>
      <c r="D89" s="43" t="s">
        <v>229</v>
      </c>
      <c r="E89" s="42"/>
      <c r="F89" s="44"/>
      <c r="G89" s="77">
        <f t="shared" ref="G89:I91" si="5">G90</f>
        <v>493.9</v>
      </c>
      <c r="H89" s="77">
        <f t="shared" si="5"/>
        <v>468</v>
      </c>
      <c r="I89" s="77">
        <f t="shared" si="5"/>
        <v>468</v>
      </c>
    </row>
    <row r="90" spans="1:10" x14ac:dyDescent="0.2">
      <c r="A90" s="54" t="s">
        <v>61</v>
      </c>
      <c r="B90" s="55"/>
      <c r="C90" s="43" t="s">
        <v>38</v>
      </c>
      <c r="D90" s="43" t="s">
        <v>229</v>
      </c>
      <c r="E90" s="98" t="s">
        <v>93</v>
      </c>
      <c r="F90" s="55"/>
      <c r="G90" s="77">
        <f t="shared" si="5"/>
        <v>493.9</v>
      </c>
      <c r="H90" s="77">
        <f t="shared" si="5"/>
        <v>468</v>
      </c>
      <c r="I90" s="77">
        <f t="shared" si="5"/>
        <v>468</v>
      </c>
    </row>
    <row r="91" spans="1:10" x14ac:dyDescent="0.2">
      <c r="A91" s="54" t="s">
        <v>81</v>
      </c>
      <c r="B91" s="55"/>
      <c r="C91" s="43" t="s">
        <v>38</v>
      </c>
      <c r="D91" s="43" t="s">
        <v>229</v>
      </c>
      <c r="E91" s="98" t="s">
        <v>94</v>
      </c>
      <c r="F91" s="42"/>
      <c r="G91" s="77">
        <f t="shared" si="5"/>
        <v>493.9</v>
      </c>
      <c r="H91" s="77">
        <f t="shared" si="5"/>
        <v>468</v>
      </c>
      <c r="I91" s="77">
        <f t="shared" si="5"/>
        <v>468</v>
      </c>
    </row>
    <row r="92" spans="1:10" x14ac:dyDescent="0.2">
      <c r="A92" s="54" t="s">
        <v>81</v>
      </c>
      <c r="B92" s="55"/>
      <c r="C92" s="43" t="s">
        <v>38</v>
      </c>
      <c r="D92" s="43" t="s">
        <v>229</v>
      </c>
      <c r="E92" s="98" t="s">
        <v>111</v>
      </c>
      <c r="F92" s="42"/>
      <c r="G92" s="77">
        <f>G93</f>
        <v>493.9</v>
      </c>
      <c r="H92" s="77">
        <f>H93</f>
        <v>468</v>
      </c>
      <c r="I92" s="77">
        <f>I93</f>
        <v>468</v>
      </c>
    </row>
    <row r="93" spans="1:10" ht="38.25" x14ac:dyDescent="0.2">
      <c r="A93" s="113" t="s">
        <v>62</v>
      </c>
      <c r="B93" s="55"/>
      <c r="C93" s="43" t="s">
        <v>38</v>
      </c>
      <c r="D93" s="43" t="s">
        <v>229</v>
      </c>
      <c r="E93" s="42" t="s">
        <v>104</v>
      </c>
      <c r="F93" s="55"/>
      <c r="G93" s="112">
        <f>SUM(G94:G95)</f>
        <v>493.9</v>
      </c>
      <c r="H93" s="112">
        <f>SUM(H94:H95)</f>
        <v>468</v>
      </c>
      <c r="I93" s="112">
        <f>SUM(I94:I95)</f>
        <v>468</v>
      </c>
    </row>
    <row r="94" spans="1:10" ht="25.5" x14ac:dyDescent="0.2">
      <c r="A94" s="63" t="s">
        <v>85</v>
      </c>
      <c r="B94" s="55"/>
      <c r="C94" s="43" t="s">
        <v>38</v>
      </c>
      <c r="D94" s="43" t="s">
        <v>229</v>
      </c>
      <c r="E94" s="42" t="s">
        <v>104</v>
      </c>
      <c r="F94" s="42">
        <v>120</v>
      </c>
      <c r="G94" s="112">
        <f>351.382+106.118</f>
        <v>457.5</v>
      </c>
      <c r="H94" s="77">
        <v>457.5</v>
      </c>
      <c r="I94" s="77">
        <v>457.5</v>
      </c>
    </row>
    <row r="95" spans="1:10" ht="25.5" x14ac:dyDescent="0.2">
      <c r="A95" s="41" t="s">
        <v>83</v>
      </c>
      <c r="B95" s="55"/>
      <c r="C95" s="43" t="s">
        <v>38</v>
      </c>
      <c r="D95" s="43" t="s">
        <v>229</v>
      </c>
      <c r="E95" s="42" t="s">
        <v>104</v>
      </c>
      <c r="F95" s="42">
        <v>240</v>
      </c>
      <c r="G95" s="77">
        <v>36.4</v>
      </c>
      <c r="H95" s="77">
        <v>10.5</v>
      </c>
      <c r="I95" s="77">
        <v>10.5</v>
      </c>
    </row>
    <row r="96" spans="1:10" x14ac:dyDescent="0.2">
      <c r="A96" s="37" t="s">
        <v>21</v>
      </c>
      <c r="B96" s="50">
        <v>911</v>
      </c>
      <c r="C96" s="39" t="s">
        <v>39</v>
      </c>
      <c r="D96" s="39" t="s">
        <v>37</v>
      </c>
      <c r="E96" s="39"/>
      <c r="F96" s="39"/>
      <c r="G96" s="40">
        <f>SUM(G97,G133)</f>
        <v>6131.597999999999</v>
      </c>
      <c r="H96" s="40">
        <f>SUM(H97,H133)</f>
        <v>2400</v>
      </c>
      <c r="I96" s="40">
        <f>SUM(I97,I133)</f>
        <v>2400</v>
      </c>
      <c r="J96" s="16"/>
    </row>
    <row r="97" spans="1:9" ht="15.75" x14ac:dyDescent="0.25">
      <c r="A97" s="124" t="s">
        <v>69</v>
      </c>
      <c r="B97" s="125"/>
      <c r="C97" s="125" t="s">
        <v>39</v>
      </c>
      <c r="D97" s="125" t="s">
        <v>43</v>
      </c>
      <c r="E97" s="44"/>
      <c r="F97" s="44"/>
      <c r="G97" s="76">
        <f>SUM(G105)+G98-0.1</f>
        <v>5933.597999999999</v>
      </c>
      <c r="H97" s="76">
        <f>SUM(H105)</f>
        <v>2400</v>
      </c>
      <c r="I97" s="76">
        <f>SUM(I105)</f>
        <v>2400</v>
      </c>
    </row>
    <row r="98" spans="1:9" ht="39" x14ac:dyDescent="0.25">
      <c r="A98" s="41" t="s">
        <v>292</v>
      </c>
      <c r="B98" s="126"/>
      <c r="C98" s="125" t="s">
        <v>39</v>
      </c>
      <c r="D98" s="125" t="s">
        <v>43</v>
      </c>
      <c r="E98" s="64" t="s">
        <v>293</v>
      </c>
      <c r="F98" s="44"/>
      <c r="G98" s="76">
        <f>G99</f>
        <v>1378.07</v>
      </c>
      <c r="H98" s="76"/>
      <c r="I98" s="76"/>
    </row>
    <row r="99" spans="1:9" ht="39" x14ac:dyDescent="0.25">
      <c r="A99" s="41" t="s">
        <v>292</v>
      </c>
      <c r="B99" s="126"/>
      <c r="C99" s="125" t="s">
        <v>39</v>
      </c>
      <c r="D99" s="125" t="s">
        <v>43</v>
      </c>
      <c r="E99" s="64" t="s">
        <v>294</v>
      </c>
      <c r="F99" s="44"/>
      <c r="G99" s="76">
        <f>G100</f>
        <v>1378.07</v>
      </c>
      <c r="H99" s="76"/>
      <c r="I99" s="76"/>
    </row>
    <row r="100" spans="1:9" ht="26.25" x14ac:dyDescent="0.25">
      <c r="A100" s="60" t="s">
        <v>295</v>
      </c>
      <c r="B100" s="126"/>
      <c r="C100" s="125" t="s">
        <v>39</v>
      </c>
      <c r="D100" s="125" t="s">
        <v>43</v>
      </c>
      <c r="E100" s="64" t="s">
        <v>296</v>
      </c>
      <c r="F100" s="44"/>
      <c r="G100" s="76">
        <f>G102+G104</f>
        <v>1378.07</v>
      </c>
      <c r="H100" s="76"/>
      <c r="I100" s="76"/>
    </row>
    <row r="101" spans="1:9" ht="64.5" x14ac:dyDescent="0.25">
      <c r="A101" s="41" t="s">
        <v>302</v>
      </c>
      <c r="B101" s="126"/>
      <c r="C101" s="125" t="s">
        <v>39</v>
      </c>
      <c r="D101" s="125" t="s">
        <v>43</v>
      </c>
      <c r="E101" s="64" t="s">
        <v>297</v>
      </c>
      <c r="F101" s="44"/>
      <c r="G101" s="76">
        <f>G102</f>
        <v>952.3</v>
      </c>
      <c r="H101" s="76"/>
      <c r="I101" s="76"/>
    </row>
    <row r="102" spans="1:9" ht="26.25" x14ac:dyDescent="0.25">
      <c r="A102" s="41" t="s">
        <v>83</v>
      </c>
      <c r="B102" s="126"/>
      <c r="C102" s="125" t="s">
        <v>39</v>
      </c>
      <c r="D102" s="125" t="s">
        <v>43</v>
      </c>
      <c r="E102" s="64" t="s">
        <v>297</v>
      </c>
      <c r="F102" s="43" t="s">
        <v>84</v>
      </c>
      <c r="G102" s="76">
        <f>1064-20-91.7</f>
        <v>952.3</v>
      </c>
      <c r="H102" s="76"/>
      <c r="I102" s="76"/>
    </row>
    <row r="103" spans="1:9" ht="64.5" x14ac:dyDescent="0.25">
      <c r="A103" s="41" t="s">
        <v>303</v>
      </c>
      <c r="B103" s="126"/>
      <c r="C103" s="125" t="s">
        <v>39</v>
      </c>
      <c r="D103" s="125" t="s">
        <v>43</v>
      </c>
      <c r="E103" s="64" t="s">
        <v>298</v>
      </c>
      <c r="F103" s="44"/>
      <c r="G103" s="76">
        <f>G104</f>
        <v>425.77</v>
      </c>
      <c r="H103" s="76"/>
      <c r="I103" s="76"/>
    </row>
    <row r="104" spans="1:9" ht="26.25" x14ac:dyDescent="0.25">
      <c r="A104" s="41" t="s">
        <v>83</v>
      </c>
      <c r="B104" s="126"/>
      <c r="C104" s="125" t="s">
        <v>39</v>
      </c>
      <c r="D104" s="125" t="s">
        <v>43</v>
      </c>
      <c r="E104" s="64" t="s">
        <v>298</v>
      </c>
      <c r="F104" s="43" t="s">
        <v>84</v>
      </c>
      <c r="G104" s="76">
        <v>425.77</v>
      </c>
      <c r="H104" s="76"/>
      <c r="I104" s="76"/>
    </row>
    <row r="105" spans="1:9" ht="38.25" x14ac:dyDescent="0.2">
      <c r="A105" s="54" t="s">
        <v>114</v>
      </c>
      <c r="B105" s="55"/>
      <c r="C105" s="64" t="s">
        <v>39</v>
      </c>
      <c r="D105" s="64" t="s">
        <v>43</v>
      </c>
      <c r="E105" s="64" t="s">
        <v>146</v>
      </c>
      <c r="F105" s="64"/>
      <c r="G105" s="77">
        <f>G106+G110+G116+G120+G126</f>
        <v>4555.6279999999997</v>
      </c>
      <c r="H105" s="77">
        <f>H106+H110+H116+H120</f>
        <v>2400</v>
      </c>
      <c r="I105" s="77">
        <f>I106+I110+I116+I120</f>
        <v>2400</v>
      </c>
    </row>
    <row r="106" spans="1:9" ht="30.75" customHeight="1" x14ac:dyDescent="0.2">
      <c r="A106" s="54" t="s">
        <v>231</v>
      </c>
      <c r="B106" s="55"/>
      <c r="C106" s="64" t="s">
        <v>39</v>
      </c>
      <c r="D106" s="64" t="s">
        <v>43</v>
      </c>
      <c r="E106" s="64" t="s">
        <v>147</v>
      </c>
      <c r="F106" s="64"/>
      <c r="G106" s="77">
        <f>G107</f>
        <v>620</v>
      </c>
      <c r="H106" s="77">
        <f>H107</f>
        <v>620</v>
      </c>
      <c r="I106" s="77">
        <f>I107</f>
        <v>620</v>
      </c>
    </row>
    <row r="107" spans="1:9" x14ac:dyDescent="0.2">
      <c r="A107" s="60" t="s">
        <v>232</v>
      </c>
      <c r="B107" s="55"/>
      <c r="C107" s="64" t="s">
        <v>39</v>
      </c>
      <c r="D107" s="64" t="s">
        <v>43</v>
      </c>
      <c r="E107" s="64" t="s">
        <v>148</v>
      </c>
      <c r="F107" s="64"/>
      <c r="G107" s="77">
        <f>G109</f>
        <v>620</v>
      </c>
      <c r="H107" s="77">
        <f>H109</f>
        <v>620</v>
      </c>
      <c r="I107" s="77">
        <f>I109</f>
        <v>620</v>
      </c>
    </row>
    <row r="108" spans="1:9" ht="38.25" x14ac:dyDescent="0.2">
      <c r="A108" s="60" t="s">
        <v>178</v>
      </c>
      <c r="B108" s="55"/>
      <c r="C108" s="64" t="s">
        <v>39</v>
      </c>
      <c r="D108" s="64" t="s">
        <v>43</v>
      </c>
      <c r="E108" s="64" t="s">
        <v>149</v>
      </c>
      <c r="F108" s="64"/>
      <c r="G108" s="77">
        <f>G109</f>
        <v>620</v>
      </c>
      <c r="H108" s="77">
        <f>H109</f>
        <v>620</v>
      </c>
      <c r="I108" s="77">
        <f>I109</f>
        <v>620</v>
      </c>
    </row>
    <row r="109" spans="1:9" ht="25.5" x14ac:dyDescent="0.2">
      <c r="A109" s="41" t="s">
        <v>83</v>
      </c>
      <c r="B109" s="42"/>
      <c r="C109" s="64" t="s">
        <v>39</v>
      </c>
      <c r="D109" s="64" t="s">
        <v>43</v>
      </c>
      <c r="E109" s="64" t="s">
        <v>149</v>
      </c>
      <c r="F109" s="44" t="s">
        <v>84</v>
      </c>
      <c r="G109" s="77">
        <v>620</v>
      </c>
      <c r="H109" s="77">
        <v>620</v>
      </c>
      <c r="I109" s="77">
        <v>620</v>
      </c>
    </row>
    <row r="110" spans="1:9" ht="26.25" customHeight="1" x14ac:dyDescent="0.2">
      <c r="A110" s="54" t="s">
        <v>233</v>
      </c>
      <c r="B110" s="42"/>
      <c r="C110" s="64" t="s">
        <v>39</v>
      </c>
      <c r="D110" s="64" t="s">
        <v>43</v>
      </c>
      <c r="E110" s="64" t="s">
        <v>150</v>
      </c>
      <c r="F110" s="44"/>
      <c r="G110" s="77">
        <f t="shared" ref="G110:I112" si="6">G111</f>
        <v>1722.9279999999999</v>
      </c>
      <c r="H110" s="77">
        <f t="shared" si="6"/>
        <v>1720</v>
      </c>
      <c r="I110" s="77">
        <f t="shared" si="6"/>
        <v>1720</v>
      </c>
    </row>
    <row r="111" spans="1:9" ht="51" x14ac:dyDescent="0.2">
      <c r="A111" s="60" t="s">
        <v>234</v>
      </c>
      <c r="B111" s="42"/>
      <c r="C111" s="64" t="s">
        <v>39</v>
      </c>
      <c r="D111" s="64" t="s">
        <v>43</v>
      </c>
      <c r="E111" s="64" t="s">
        <v>151</v>
      </c>
      <c r="F111" s="44"/>
      <c r="G111" s="77">
        <f t="shared" si="6"/>
        <v>1722.9279999999999</v>
      </c>
      <c r="H111" s="77">
        <f t="shared" si="6"/>
        <v>1720</v>
      </c>
      <c r="I111" s="77">
        <f t="shared" si="6"/>
        <v>1720</v>
      </c>
    </row>
    <row r="112" spans="1:9" ht="63.75" x14ac:dyDescent="0.2">
      <c r="A112" s="60" t="s">
        <v>235</v>
      </c>
      <c r="B112" s="55"/>
      <c r="C112" s="64" t="s">
        <v>39</v>
      </c>
      <c r="D112" s="64" t="s">
        <v>43</v>
      </c>
      <c r="E112" s="64" t="s">
        <v>152</v>
      </c>
      <c r="F112" s="64"/>
      <c r="G112" s="77">
        <f>G113+G115</f>
        <v>1722.9279999999999</v>
      </c>
      <c r="H112" s="77">
        <f t="shared" si="6"/>
        <v>1720</v>
      </c>
      <c r="I112" s="77">
        <f t="shared" si="6"/>
        <v>1720</v>
      </c>
    </row>
    <row r="113" spans="1:9" ht="25.5" x14ac:dyDescent="0.2">
      <c r="A113" s="41" t="s">
        <v>83</v>
      </c>
      <c r="B113" s="42"/>
      <c r="C113" s="64" t="s">
        <v>39</v>
      </c>
      <c r="D113" s="64" t="s">
        <v>43</v>
      </c>
      <c r="E113" s="64" t="s">
        <v>152</v>
      </c>
      <c r="F113" s="44" t="s">
        <v>84</v>
      </c>
      <c r="G113" s="77">
        <f>1614+534.7-3.5-425.772</f>
        <v>1719.4279999999999</v>
      </c>
      <c r="H113" s="77">
        <v>1720</v>
      </c>
      <c r="I113" s="77">
        <v>1720</v>
      </c>
    </row>
    <row r="114" spans="1:9" ht="54" customHeight="1" x14ac:dyDescent="0.2">
      <c r="A114" s="60" t="s">
        <v>235</v>
      </c>
      <c r="B114" s="42"/>
      <c r="C114" s="64" t="s">
        <v>39</v>
      </c>
      <c r="D114" s="64" t="s">
        <v>43</v>
      </c>
      <c r="E114" s="64" t="s">
        <v>152</v>
      </c>
      <c r="F114" s="44"/>
      <c r="G114" s="77">
        <f>G115</f>
        <v>3.5</v>
      </c>
      <c r="H114" s="77"/>
      <c r="I114" s="77"/>
    </row>
    <row r="115" spans="1:9" x14ac:dyDescent="0.2">
      <c r="A115" s="60" t="s">
        <v>82</v>
      </c>
      <c r="B115" s="42"/>
      <c r="C115" s="64" t="s">
        <v>39</v>
      </c>
      <c r="D115" s="64" t="s">
        <v>43</v>
      </c>
      <c r="E115" s="64" t="s">
        <v>152</v>
      </c>
      <c r="F115" s="43" t="s">
        <v>216</v>
      </c>
      <c r="G115" s="77">
        <v>3.5</v>
      </c>
      <c r="H115" s="77"/>
      <c r="I115" s="77"/>
    </row>
    <row r="116" spans="1:9" x14ac:dyDescent="0.2">
      <c r="A116" s="54" t="s">
        <v>163</v>
      </c>
      <c r="B116" s="55"/>
      <c r="C116" s="64" t="s">
        <v>39</v>
      </c>
      <c r="D116" s="64" t="s">
        <v>43</v>
      </c>
      <c r="E116" s="64" t="s">
        <v>160</v>
      </c>
      <c r="F116" s="64"/>
      <c r="G116" s="77">
        <f>G117</f>
        <v>60</v>
      </c>
      <c r="H116" s="77">
        <f>H117</f>
        <v>60</v>
      </c>
      <c r="I116" s="77">
        <f>I117</f>
        <v>60</v>
      </c>
    </row>
    <row r="117" spans="1:9" ht="25.5" x14ac:dyDescent="0.2">
      <c r="A117" s="60" t="s">
        <v>162</v>
      </c>
      <c r="B117" s="55"/>
      <c r="C117" s="64" t="s">
        <v>39</v>
      </c>
      <c r="D117" s="64" t="s">
        <v>43</v>
      </c>
      <c r="E117" s="64" t="s">
        <v>161</v>
      </c>
      <c r="F117" s="64"/>
      <c r="G117" s="77">
        <f>G119</f>
        <v>60</v>
      </c>
      <c r="H117" s="77">
        <f>H119</f>
        <v>60</v>
      </c>
      <c r="I117" s="77">
        <f>I119</f>
        <v>60</v>
      </c>
    </row>
    <row r="118" spans="1:9" ht="38.25" x14ac:dyDescent="0.2">
      <c r="A118" s="60" t="s">
        <v>178</v>
      </c>
      <c r="B118" s="55"/>
      <c r="C118" s="64" t="s">
        <v>39</v>
      </c>
      <c r="D118" s="64" t="s">
        <v>43</v>
      </c>
      <c r="E118" s="64" t="s">
        <v>159</v>
      </c>
      <c r="F118" s="64"/>
      <c r="G118" s="77">
        <f>G119</f>
        <v>60</v>
      </c>
      <c r="H118" s="77">
        <f>H119</f>
        <v>60</v>
      </c>
      <c r="I118" s="77">
        <f>I119</f>
        <v>60</v>
      </c>
    </row>
    <row r="119" spans="1:9" ht="25.5" x14ac:dyDescent="0.2">
      <c r="A119" s="41" t="s">
        <v>83</v>
      </c>
      <c r="B119" s="42"/>
      <c r="C119" s="64" t="s">
        <v>39</v>
      </c>
      <c r="D119" s="64" t="s">
        <v>43</v>
      </c>
      <c r="E119" s="64" t="s">
        <v>159</v>
      </c>
      <c r="F119" s="44" t="s">
        <v>84</v>
      </c>
      <c r="G119" s="77">
        <v>60</v>
      </c>
      <c r="H119" s="77">
        <v>60</v>
      </c>
      <c r="I119" s="77">
        <v>60</v>
      </c>
    </row>
    <row r="120" spans="1:9" ht="25.5" x14ac:dyDescent="0.2">
      <c r="A120" s="78" t="s">
        <v>208</v>
      </c>
      <c r="B120" s="42"/>
      <c r="C120" s="64" t="s">
        <v>39</v>
      </c>
      <c r="D120" s="64" t="s">
        <v>43</v>
      </c>
      <c r="E120" s="64" t="s">
        <v>205</v>
      </c>
      <c r="F120" s="44"/>
      <c r="G120" s="77">
        <f>G121</f>
        <v>986.4</v>
      </c>
      <c r="H120" s="77">
        <f>H121</f>
        <v>0</v>
      </c>
      <c r="I120" s="77">
        <f>I121</f>
        <v>0</v>
      </c>
    </row>
    <row r="121" spans="1:9" ht="25.5" x14ac:dyDescent="0.2">
      <c r="A121" s="78" t="s">
        <v>209</v>
      </c>
      <c r="B121" s="42"/>
      <c r="C121" s="64" t="s">
        <v>39</v>
      </c>
      <c r="D121" s="64" t="s">
        <v>43</v>
      </c>
      <c r="E121" s="64" t="s">
        <v>206</v>
      </c>
      <c r="F121" s="44"/>
      <c r="G121" s="77">
        <f>G122+G124</f>
        <v>986.4</v>
      </c>
      <c r="H121" s="77">
        <f>H122+H124</f>
        <v>0</v>
      </c>
      <c r="I121" s="77">
        <f>I122+I124</f>
        <v>0</v>
      </c>
    </row>
    <row r="122" spans="1:9" ht="25.5" x14ac:dyDescent="0.2">
      <c r="A122" s="78" t="s">
        <v>210</v>
      </c>
      <c r="B122" s="42"/>
      <c r="C122" s="64" t="s">
        <v>39</v>
      </c>
      <c r="D122" s="64" t="s">
        <v>43</v>
      </c>
      <c r="E122" s="64" t="s">
        <v>207</v>
      </c>
      <c r="F122" s="44"/>
      <c r="G122" s="77">
        <f>G123</f>
        <v>986.4</v>
      </c>
      <c r="H122" s="77">
        <f>H123</f>
        <v>0</v>
      </c>
      <c r="I122" s="77">
        <f>I123</f>
        <v>0</v>
      </c>
    </row>
    <row r="123" spans="1:9" ht="26.25" customHeight="1" x14ac:dyDescent="0.2">
      <c r="A123" s="53" t="s">
        <v>83</v>
      </c>
      <c r="B123" s="42"/>
      <c r="C123" s="64" t="s">
        <v>39</v>
      </c>
      <c r="D123" s="64" t="s">
        <v>43</v>
      </c>
      <c r="E123" s="64" t="s">
        <v>207</v>
      </c>
      <c r="F123" s="43" t="s">
        <v>84</v>
      </c>
      <c r="G123" s="77">
        <v>986.4</v>
      </c>
      <c r="H123" s="77"/>
      <c r="I123" s="77"/>
    </row>
    <row r="124" spans="1:9" ht="26.25" customHeight="1" x14ac:dyDescent="0.2">
      <c r="A124" s="53" t="s">
        <v>218</v>
      </c>
      <c r="B124" s="42"/>
      <c r="C124" s="64" t="s">
        <v>39</v>
      </c>
      <c r="D124" s="64" t="s">
        <v>43</v>
      </c>
      <c r="E124" s="64" t="s">
        <v>217</v>
      </c>
      <c r="F124" s="43"/>
      <c r="G124" s="77">
        <f>G125</f>
        <v>0</v>
      </c>
      <c r="H124" s="77">
        <f>H125</f>
        <v>0</v>
      </c>
      <c r="I124" s="77">
        <f>I125</f>
        <v>0</v>
      </c>
    </row>
    <row r="125" spans="1:9" ht="25.5" x14ac:dyDescent="0.2">
      <c r="A125" s="53" t="s">
        <v>83</v>
      </c>
      <c r="B125" s="42"/>
      <c r="C125" s="64" t="s">
        <v>39</v>
      </c>
      <c r="D125" s="64" t="s">
        <v>43</v>
      </c>
      <c r="E125" s="64" t="s">
        <v>217</v>
      </c>
      <c r="F125" s="43" t="s">
        <v>84</v>
      </c>
      <c r="G125" s="77"/>
      <c r="H125" s="77"/>
      <c r="I125" s="77"/>
    </row>
    <row r="126" spans="1:9" ht="38.25" x14ac:dyDescent="0.2">
      <c r="A126" s="53" t="s">
        <v>250</v>
      </c>
      <c r="B126" s="42"/>
      <c r="C126" s="64" t="s">
        <v>39</v>
      </c>
      <c r="D126" s="64" t="s">
        <v>43</v>
      </c>
      <c r="E126" s="64" t="s">
        <v>251</v>
      </c>
      <c r="F126" s="43"/>
      <c r="G126" s="77">
        <f>G127</f>
        <v>1166.3</v>
      </c>
      <c r="H126" s="77"/>
      <c r="I126" s="77"/>
    </row>
    <row r="127" spans="1:9" ht="38.25" x14ac:dyDescent="0.2">
      <c r="A127" s="53" t="s">
        <v>255</v>
      </c>
      <c r="B127" s="55"/>
      <c r="C127" s="64" t="s">
        <v>39</v>
      </c>
      <c r="D127" s="64" t="s">
        <v>43</v>
      </c>
      <c r="E127" s="64" t="s">
        <v>251</v>
      </c>
      <c r="F127" s="64"/>
      <c r="G127" s="77">
        <f>G128</f>
        <v>1166.3</v>
      </c>
      <c r="H127" s="77"/>
      <c r="I127" s="77"/>
    </row>
    <row r="128" spans="1:9" ht="24" x14ac:dyDescent="0.2">
      <c r="A128" s="82" t="s">
        <v>209</v>
      </c>
      <c r="B128" s="55"/>
      <c r="C128" s="64" t="s">
        <v>39</v>
      </c>
      <c r="D128" s="64" t="s">
        <v>43</v>
      </c>
      <c r="E128" s="64" t="s">
        <v>252</v>
      </c>
      <c r="F128" s="64"/>
      <c r="G128" s="77">
        <f>G131+G129</f>
        <v>1166.3</v>
      </c>
      <c r="H128" s="77"/>
      <c r="I128" s="77"/>
    </row>
    <row r="129" spans="1:9" ht="25.5" x14ac:dyDescent="0.2">
      <c r="A129" s="53" t="s">
        <v>267</v>
      </c>
      <c r="B129" s="55"/>
      <c r="C129" s="64" t="s">
        <v>39</v>
      </c>
      <c r="D129" s="64" t="s">
        <v>43</v>
      </c>
      <c r="E129" s="42" t="s">
        <v>268</v>
      </c>
      <c r="F129" s="43"/>
      <c r="G129" s="84">
        <f>G130</f>
        <v>1060.3</v>
      </c>
      <c r="H129" s="77"/>
      <c r="I129" s="77"/>
    </row>
    <row r="130" spans="1:9" ht="25.5" x14ac:dyDescent="0.2">
      <c r="A130" s="53" t="s">
        <v>83</v>
      </c>
      <c r="B130" s="55"/>
      <c r="C130" s="64" t="s">
        <v>39</v>
      </c>
      <c r="D130" s="64" t="s">
        <v>43</v>
      </c>
      <c r="E130" s="42" t="s">
        <v>268</v>
      </c>
      <c r="F130" s="43" t="s">
        <v>269</v>
      </c>
      <c r="G130" s="84">
        <v>1060.3</v>
      </c>
      <c r="H130" s="77"/>
      <c r="I130" s="77"/>
    </row>
    <row r="131" spans="1:9" ht="51" x14ac:dyDescent="0.2">
      <c r="A131" s="60" t="s">
        <v>253</v>
      </c>
      <c r="B131" s="55"/>
      <c r="C131" s="64" t="s">
        <v>39</v>
      </c>
      <c r="D131" s="64" t="s">
        <v>43</v>
      </c>
      <c r="E131" s="64" t="s">
        <v>254</v>
      </c>
      <c r="F131" s="64"/>
      <c r="G131" s="77">
        <f>G132</f>
        <v>106</v>
      </c>
      <c r="H131" s="77"/>
      <c r="I131" s="77"/>
    </row>
    <row r="132" spans="1:9" ht="25.5" x14ac:dyDescent="0.2">
      <c r="A132" s="41" t="s">
        <v>83</v>
      </c>
      <c r="B132" s="42"/>
      <c r="C132" s="64" t="s">
        <v>39</v>
      </c>
      <c r="D132" s="64" t="s">
        <v>43</v>
      </c>
      <c r="E132" s="64" t="s">
        <v>254</v>
      </c>
      <c r="F132" s="44" t="s">
        <v>84</v>
      </c>
      <c r="G132" s="77">
        <v>106</v>
      </c>
      <c r="H132" s="77"/>
      <c r="I132" s="77"/>
    </row>
    <row r="133" spans="1:9" x14ac:dyDescent="0.2">
      <c r="A133" s="57" t="s">
        <v>34</v>
      </c>
      <c r="B133" s="57"/>
      <c r="C133" s="56" t="s">
        <v>39</v>
      </c>
      <c r="D133" s="56" t="s">
        <v>44</v>
      </c>
      <c r="E133" s="56"/>
      <c r="F133" s="56"/>
      <c r="G133" s="45">
        <f t="shared" ref="G133:I134" si="7">G134</f>
        <v>198</v>
      </c>
      <c r="H133" s="45">
        <f t="shared" si="7"/>
        <v>0</v>
      </c>
      <c r="I133" s="45">
        <f t="shared" si="7"/>
        <v>0</v>
      </c>
    </row>
    <row r="134" spans="1:9" x14ac:dyDescent="0.2">
      <c r="A134" s="127" t="s">
        <v>61</v>
      </c>
      <c r="B134" s="57"/>
      <c r="C134" s="56" t="s">
        <v>39</v>
      </c>
      <c r="D134" s="56" t="s">
        <v>44</v>
      </c>
      <c r="E134" s="67" t="s">
        <v>93</v>
      </c>
      <c r="F134" s="56"/>
      <c r="G134" s="45">
        <f t="shared" si="7"/>
        <v>198</v>
      </c>
      <c r="H134" s="45">
        <f t="shared" si="7"/>
        <v>0</v>
      </c>
      <c r="I134" s="45">
        <f t="shared" si="7"/>
        <v>0</v>
      </c>
    </row>
    <row r="135" spans="1:9" x14ac:dyDescent="0.2">
      <c r="A135" s="127" t="s">
        <v>61</v>
      </c>
      <c r="B135" s="57"/>
      <c r="C135" s="56" t="s">
        <v>39</v>
      </c>
      <c r="D135" s="56" t="s">
        <v>44</v>
      </c>
      <c r="E135" s="42" t="s">
        <v>94</v>
      </c>
      <c r="F135" s="56"/>
      <c r="G135" s="45">
        <f>SUM(G136,G138)</f>
        <v>198</v>
      </c>
      <c r="H135" s="45">
        <f>SUM(H136,H138)</f>
        <v>0</v>
      </c>
      <c r="I135" s="45">
        <f>SUM(I136,I138)</f>
        <v>0</v>
      </c>
    </row>
    <row r="136" spans="1:9" ht="33" customHeight="1" x14ac:dyDescent="0.2">
      <c r="A136" s="75" t="s">
        <v>70</v>
      </c>
      <c r="B136" s="57"/>
      <c r="C136" s="56" t="s">
        <v>39</v>
      </c>
      <c r="D136" s="56" t="s">
        <v>44</v>
      </c>
      <c r="E136" s="42" t="s">
        <v>202</v>
      </c>
      <c r="F136" s="44"/>
      <c r="G136" s="45">
        <f>SUM(G137)</f>
        <v>198</v>
      </c>
      <c r="H136" s="45">
        <f>SUM(H137)</f>
        <v>0</v>
      </c>
      <c r="I136" s="45">
        <f>SUM(I137)</f>
        <v>0</v>
      </c>
    </row>
    <row r="137" spans="1:9" ht="25.5" x14ac:dyDescent="0.2">
      <c r="A137" s="53" t="s">
        <v>83</v>
      </c>
      <c r="B137" s="75"/>
      <c r="C137" s="56" t="s">
        <v>39</v>
      </c>
      <c r="D137" s="56" t="s">
        <v>44</v>
      </c>
      <c r="E137" s="42" t="s">
        <v>202</v>
      </c>
      <c r="F137" s="44" t="s">
        <v>84</v>
      </c>
      <c r="G137" s="45">
        <v>198</v>
      </c>
      <c r="H137" s="45"/>
      <c r="I137" s="45"/>
    </row>
    <row r="138" spans="1:9" x14ac:dyDescent="0.2">
      <c r="A138" s="127" t="s">
        <v>81</v>
      </c>
      <c r="B138" s="75"/>
      <c r="C138" s="56" t="s">
        <v>39</v>
      </c>
      <c r="D138" s="56" t="s">
        <v>44</v>
      </c>
      <c r="E138" s="42" t="s">
        <v>111</v>
      </c>
      <c r="F138" s="44"/>
      <c r="G138" s="45">
        <f t="shared" ref="G138:I139" si="8">G139</f>
        <v>0</v>
      </c>
      <c r="H138" s="45">
        <f t="shared" si="8"/>
        <v>0</v>
      </c>
      <c r="I138" s="45">
        <f t="shared" si="8"/>
        <v>0</v>
      </c>
    </row>
    <row r="139" spans="1:9" x14ac:dyDescent="0.2">
      <c r="A139" s="75" t="s">
        <v>70</v>
      </c>
      <c r="B139" s="75"/>
      <c r="C139" s="56" t="s">
        <v>39</v>
      </c>
      <c r="D139" s="56" t="s">
        <v>44</v>
      </c>
      <c r="E139" s="42" t="s">
        <v>202</v>
      </c>
      <c r="F139" s="44"/>
      <c r="G139" s="45">
        <f t="shared" si="8"/>
        <v>0</v>
      </c>
      <c r="H139" s="45">
        <f t="shared" si="8"/>
        <v>0</v>
      </c>
      <c r="I139" s="45">
        <f t="shared" si="8"/>
        <v>0</v>
      </c>
    </row>
    <row r="140" spans="1:9" ht="25.5" x14ac:dyDescent="0.2">
      <c r="A140" s="53" t="s">
        <v>83</v>
      </c>
      <c r="B140" s="75"/>
      <c r="C140" s="56" t="s">
        <v>39</v>
      </c>
      <c r="D140" s="56" t="s">
        <v>44</v>
      </c>
      <c r="E140" s="42" t="s">
        <v>202</v>
      </c>
      <c r="F140" s="44" t="s">
        <v>84</v>
      </c>
      <c r="G140" s="45">
        <f>750-750</f>
        <v>0</v>
      </c>
      <c r="H140" s="45">
        <f>750-750</f>
        <v>0</v>
      </c>
      <c r="I140" s="45">
        <f>750-750</f>
        <v>0</v>
      </c>
    </row>
    <row r="141" spans="1:9" ht="12" customHeight="1" x14ac:dyDescent="0.2">
      <c r="A141" s="37" t="s">
        <v>8</v>
      </c>
      <c r="B141" s="50">
        <v>911</v>
      </c>
      <c r="C141" s="39" t="s">
        <v>45</v>
      </c>
      <c r="D141" s="39" t="s">
        <v>37</v>
      </c>
      <c r="E141" s="39"/>
      <c r="F141" s="39"/>
      <c r="G141" s="40">
        <f>SUM(G142,G159,G181,G213)</f>
        <v>10048.535</v>
      </c>
      <c r="H141" s="40">
        <f>SUM(H142,H159,H181,H213)</f>
        <v>6134.701</v>
      </c>
      <c r="I141" s="40">
        <f>SUM(I142,I159,I181,I213)</f>
        <v>6622.3009999999995</v>
      </c>
    </row>
    <row r="142" spans="1:9" x14ac:dyDescent="0.2">
      <c r="A142" s="41" t="s">
        <v>22</v>
      </c>
      <c r="B142" s="85"/>
      <c r="C142" s="86" t="s">
        <v>45</v>
      </c>
      <c r="D142" s="86" t="s">
        <v>36</v>
      </c>
      <c r="E142" s="56"/>
      <c r="F142" s="56"/>
      <c r="G142" s="45">
        <f>G144+G150</f>
        <v>4040.4169999999999</v>
      </c>
      <c r="H142" s="45">
        <f>H144+H150</f>
        <v>550.80099999999993</v>
      </c>
      <c r="I142" s="45">
        <f>I144+I150</f>
        <v>550.80099999999993</v>
      </c>
    </row>
    <row r="143" spans="1:9" ht="38.25" x14ac:dyDescent="0.2">
      <c r="A143" s="41" t="s">
        <v>153</v>
      </c>
      <c r="B143" s="85"/>
      <c r="C143" s="44" t="s">
        <v>45</v>
      </c>
      <c r="D143" s="44" t="s">
        <v>36</v>
      </c>
      <c r="E143" s="43" t="s">
        <v>182</v>
      </c>
      <c r="F143" s="56"/>
      <c r="G143" s="45">
        <f t="shared" ref="G143:I144" si="9">G144</f>
        <v>317.803</v>
      </c>
      <c r="H143" s="45">
        <f t="shared" si="9"/>
        <v>312.02099999999996</v>
      </c>
      <c r="I143" s="45">
        <f t="shared" si="9"/>
        <v>312.02099999999996</v>
      </c>
    </row>
    <row r="144" spans="1:9" ht="25.5" customHeight="1" x14ac:dyDescent="0.2">
      <c r="A144" s="41" t="s">
        <v>153</v>
      </c>
      <c r="B144" s="85"/>
      <c r="C144" s="44" t="s">
        <v>45</v>
      </c>
      <c r="D144" s="44" t="s">
        <v>36</v>
      </c>
      <c r="E144" s="43" t="s">
        <v>183</v>
      </c>
      <c r="F144" s="56"/>
      <c r="G144" s="45">
        <f t="shared" si="9"/>
        <v>317.803</v>
      </c>
      <c r="H144" s="45">
        <f t="shared" si="9"/>
        <v>312.02099999999996</v>
      </c>
      <c r="I144" s="45">
        <f t="shared" si="9"/>
        <v>312.02099999999996</v>
      </c>
    </row>
    <row r="145" spans="1:11" ht="25.5" x14ac:dyDescent="0.2">
      <c r="A145" s="41" t="s">
        <v>247</v>
      </c>
      <c r="B145" s="85"/>
      <c r="C145" s="44" t="s">
        <v>45</v>
      </c>
      <c r="D145" s="44" t="s">
        <v>36</v>
      </c>
      <c r="E145" s="43" t="s">
        <v>184</v>
      </c>
      <c r="F145" s="56"/>
      <c r="G145" s="45">
        <f>G147+G148</f>
        <v>317.803</v>
      </c>
      <c r="H145" s="45">
        <f>H147+H148</f>
        <v>312.02099999999996</v>
      </c>
      <c r="I145" s="45">
        <f>I147+I148</f>
        <v>312.02099999999996</v>
      </c>
    </row>
    <row r="146" spans="1:11" x14ac:dyDescent="0.2">
      <c r="A146" s="41" t="s">
        <v>113</v>
      </c>
      <c r="B146" s="85"/>
      <c r="C146" s="44" t="s">
        <v>45</v>
      </c>
      <c r="D146" s="44" t="s">
        <v>36</v>
      </c>
      <c r="E146" s="43" t="s">
        <v>185</v>
      </c>
      <c r="F146" s="56"/>
      <c r="G146" s="45">
        <f>G147</f>
        <v>166.82099999999997</v>
      </c>
      <c r="H146" s="45">
        <f>H147</f>
        <v>212.02099999999999</v>
      </c>
      <c r="I146" s="45">
        <f>I147</f>
        <v>212.02099999999999</v>
      </c>
    </row>
    <row r="147" spans="1:11" ht="25.5" x14ac:dyDescent="0.2">
      <c r="A147" s="41" t="s">
        <v>83</v>
      </c>
      <c r="B147" s="85"/>
      <c r="C147" s="44" t="s">
        <v>45</v>
      </c>
      <c r="D147" s="44" t="s">
        <v>36</v>
      </c>
      <c r="E147" s="43" t="s">
        <v>185</v>
      </c>
      <c r="F147" s="44" t="s">
        <v>84</v>
      </c>
      <c r="G147" s="45">
        <f>212.021-45.2</f>
        <v>166.82099999999997</v>
      </c>
      <c r="H147" s="45">
        <v>212.02099999999999</v>
      </c>
      <c r="I147" s="45">
        <v>212.02099999999999</v>
      </c>
    </row>
    <row r="148" spans="1:11" x14ac:dyDescent="0.2">
      <c r="A148" s="41" t="s">
        <v>240</v>
      </c>
      <c r="B148" s="85"/>
      <c r="C148" s="44" t="s">
        <v>45</v>
      </c>
      <c r="D148" s="44" t="s">
        <v>36</v>
      </c>
      <c r="E148" s="43" t="s">
        <v>241</v>
      </c>
      <c r="F148" s="44"/>
      <c r="G148" s="45">
        <f>G149</f>
        <v>150.98200000000003</v>
      </c>
      <c r="H148" s="45">
        <f>H149</f>
        <v>100</v>
      </c>
      <c r="I148" s="45">
        <f>I149</f>
        <v>100</v>
      </c>
    </row>
    <row r="149" spans="1:11" ht="25.5" x14ac:dyDescent="0.2">
      <c r="A149" s="41" t="s">
        <v>83</v>
      </c>
      <c r="B149" s="85"/>
      <c r="C149" s="44" t="s">
        <v>45</v>
      </c>
      <c r="D149" s="44" t="s">
        <v>36</v>
      </c>
      <c r="E149" s="43" t="s">
        <v>241</v>
      </c>
      <c r="F149" s="44" t="s">
        <v>84</v>
      </c>
      <c r="G149" s="45">
        <f>121.182-3+100-67.2</f>
        <v>150.98200000000003</v>
      </c>
      <c r="H149" s="45">
        <v>100</v>
      </c>
      <c r="I149" s="45">
        <v>100</v>
      </c>
    </row>
    <row r="150" spans="1:11" x14ac:dyDescent="0.2">
      <c r="A150" s="54" t="s">
        <v>61</v>
      </c>
      <c r="B150" s="85"/>
      <c r="C150" s="56" t="s">
        <v>45</v>
      </c>
      <c r="D150" s="56" t="s">
        <v>36</v>
      </c>
      <c r="E150" s="55" t="s">
        <v>93</v>
      </c>
      <c r="F150" s="56"/>
      <c r="G150" s="45">
        <f>G151</f>
        <v>3722.614</v>
      </c>
      <c r="H150" s="45">
        <f>SUM(H151)</f>
        <v>238.78</v>
      </c>
      <c r="I150" s="45">
        <f>SUM(I151)</f>
        <v>238.78</v>
      </c>
    </row>
    <row r="151" spans="1:11" x14ac:dyDescent="0.2">
      <c r="A151" s="54" t="s">
        <v>169</v>
      </c>
      <c r="B151" s="85"/>
      <c r="C151" s="56" t="s">
        <v>45</v>
      </c>
      <c r="D151" s="56" t="s">
        <v>36</v>
      </c>
      <c r="E151" s="66" t="s">
        <v>94</v>
      </c>
      <c r="F151" s="56"/>
      <c r="G151" s="45">
        <f>G152</f>
        <v>3722.614</v>
      </c>
      <c r="H151" s="45">
        <f>H152</f>
        <v>238.78</v>
      </c>
      <c r="I151" s="45">
        <f>I152</f>
        <v>238.78</v>
      </c>
    </row>
    <row r="152" spans="1:11" x14ac:dyDescent="0.2">
      <c r="A152" s="54" t="s">
        <v>169</v>
      </c>
      <c r="B152" s="85"/>
      <c r="C152" s="56" t="s">
        <v>45</v>
      </c>
      <c r="D152" s="56" t="s">
        <v>36</v>
      </c>
      <c r="E152" s="66" t="s">
        <v>111</v>
      </c>
      <c r="F152" s="56"/>
      <c r="G152" s="45">
        <f>G154+G156+G158</f>
        <v>3722.614</v>
      </c>
      <c r="H152" s="45">
        <f>H154+H156</f>
        <v>238.78</v>
      </c>
      <c r="I152" s="45">
        <f>I154+I156</f>
        <v>238.78</v>
      </c>
    </row>
    <row r="153" spans="1:11" x14ac:dyDescent="0.2">
      <c r="A153" s="54" t="s">
        <v>179</v>
      </c>
      <c r="B153" s="85"/>
      <c r="C153" s="56" t="s">
        <v>45</v>
      </c>
      <c r="D153" s="56" t="s">
        <v>36</v>
      </c>
      <c r="E153" s="67" t="s">
        <v>176</v>
      </c>
      <c r="F153" s="56"/>
      <c r="G153" s="45">
        <f>G154</f>
        <v>10.634</v>
      </c>
      <c r="H153" s="45">
        <f>H154</f>
        <v>10</v>
      </c>
      <c r="I153" s="45">
        <f>I154</f>
        <v>10</v>
      </c>
    </row>
    <row r="154" spans="1:11" ht="25.5" x14ac:dyDescent="0.2">
      <c r="A154" s="41" t="s">
        <v>83</v>
      </c>
      <c r="B154" s="85"/>
      <c r="C154" s="56" t="s">
        <v>45</v>
      </c>
      <c r="D154" s="56" t="s">
        <v>36</v>
      </c>
      <c r="E154" s="67" t="s">
        <v>176</v>
      </c>
      <c r="F154" s="44" t="s">
        <v>84</v>
      </c>
      <c r="G154" s="45">
        <f>30-20+0.634</f>
        <v>10.634</v>
      </c>
      <c r="H154" s="45">
        <f>30-20</f>
        <v>10</v>
      </c>
      <c r="I154" s="45">
        <f>30-20</f>
        <v>10</v>
      </c>
    </row>
    <row r="155" spans="1:11" x14ac:dyDescent="0.2">
      <c r="A155" s="54" t="s">
        <v>236</v>
      </c>
      <c r="B155" s="85"/>
      <c r="C155" s="56" t="s">
        <v>45</v>
      </c>
      <c r="D155" s="56" t="s">
        <v>36</v>
      </c>
      <c r="E155" s="55" t="s">
        <v>112</v>
      </c>
      <c r="F155" s="44"/>
      <c r="G155" s="45">
        <f>G156</f>
        <v>215.48</v>
      </c>
      <c r="H155" s="45">
        <f>H156</f>
        <v>228.78</v>
      </c>
      <c r="I155" s="45">
        <f>I156</f>
        <v>228.78</v>
      </c>
    </row>
    <row r="156" spans="1:11" ht="25.5" x14ac:dyDescent="0.2">
      <c r="A156" s="41" t="s">
        <v>83</v>
      </c>
      <c r="B156" s="59"/>
      <c r="C156" s="56" t="s">
        <v>45</v>
      </c>
      <c r="D156" s="56" t="s">
        <v>36</v>
      </c>
      <c r="E156" s="42" t="s">
        <v>112</v>
      </c>
      <c r="F156" s="44" t="s">
        <v>84</v>
      </c>
      <c r="G156" s="45">
        <f>228.78-13.3</f>
        <v>215.48</v>
      </c>
      <c r="H156" s="45">
        <v>228.78</v>
      </c>
      <c r="I156" s="45">
        <v>228.78</v>
      </c>
    </row>
    <row r="157" spans="1:11" ht="25.5" x14ac:dyDescent="0.2">
      <c r="A157" s="53" t="s">
        <v>260</v>
      </c>
      <c r="B157" s="53"/>
      <c r="C157" s="43" t="s">
        <v>45</v>
      </c>
      <c r="D157" s="43" t="s">
        <v>36</v>
      </c>
      <c r="E157" s="42" t="s">
        <v>261</v>
      </c>
      <c r="F157" s="43"/>
      <c r="G157" s="114">
        <f>G158</f>
        <v>3496.5</v>
      </c>
      <c r="H157" s="45"/>
      <c r="I157" s="45"/>
    </row>
    <row r="158" spans="1:11" ht="51" x14ac:dyDescent="0.2">
      <c r="A158" s="53" t="s">
        <v>262</v>
      </c>
      <c r="B158" s="53"/>
      <c r="C158" s="43" t="s">
        <v>45</v>
      </c>
      <c r="D158" s="43" t="s">
        <v>36</v>
      </c>
      <c r="E158" s="42" t="s">
        <v>261</v>
      </c>
      <c r="F158" s="43" t="s">
        <v>263</v>
      </c>
      <c r="G158" s="114">
        <v>3496.5</v>
      </c>
      <c r="H158" s="45"/>
      <c r="I158" s="45"/>
    </row>
    <row r="159" spans="1:11" x14ac:dyDescent="0.2">
      <c r="A159" s="41" t="s">
        <v>9</v>
      </c>
      <c r="B159" s="85"/>
      <c r="C159" s="86" t="s">
        <v>45</v>
      </c>
      <c r="D159" s="86" t="s">
        <v>42</v>
      </c>
      <c r="E159" s="56"/>
      <c r="F159" s="56"/>
      <c r="G159" s="45">
        <f>SUM(G161)+G168</f>
        <v>2109.2979999999998</v>
      </c>
      <c r="H159" s="45">
        <f>SUM(H161)</f>
        <v>1587.4</v>
      </c>
      <c r="I159" s="45">
        <f>SUM(I161)</f>
        <v>2175</v>
      </c>
      <c r="K159" s="16"/>
    </row>
    <row r="160" spans="1:11" ht="42.75" customHeight="1" x14ac:dyDescent="0.2">
      <c r="A160" s="41" t="s">
        <v>153</v>
      </c>
      <c r="B160" s="85"/>
      <c r="C160" s="56" t="s">
        <v>45</v>
      </c>
      <c r="D160" s="56" t="s">
        <v>42</v>
      </c>
      <c r="E160" s="42" t="s">
        <v>182</v>
      </c>
      <c r="F160" s="56"/>
      <c r="G160" s="45">
        <f>G161</f>
        <v>713.5</v>
      </c>
      <c r="H160" s="45">
        <f>H161</f>
        <v>1587.4</v>
      </c>
      <c r="I160" s="45">
        <f>I161</f>
        <v>2175</v>
      </c>
    </row>
    <row r="161" spans="1:11" ht="25.5" customHeight="1" x14ac:dyDescent="0.2">
      <c r="A161" s="41" t="s">
        <v>153</v>
      </c>
      <c r="B161" s="85"/>
      <c r="C161" s="56" t="s">
        <v>45</v>
      </c>
      <c r="D161" s="56" t="s">
        <v>42</v>
      </c>
      <c r="E161" s="42" t="s">
        <v>183</v>
      </c>
      <c r="F161" s="56"/>
      <c r="G161" s="45">
        <f>G162+G165</f>
        <v>713.5</v>
      </c>
      <c r="H161" s="45">
        <f>H162+H165</f>
        <v>1587.4</v>
      </c>
      <c r="I161" s="45">
        <f>I162+I165</f>
        <v>2175</v>
      </c>
    </row>
    <row r="162" spans="1:11" ht="26.25" customHeight="1" x14ac:dyDescent="0.2">
      <c r="A162" s="41" t="s">
        <v>237</v>
      </c>
      <c r="B162" s="57"/>
      <c r="C162" s="56" t="s">
        <v>45</v>
      </c>
      <c r="D162" s="56" t="s">
        <v>42</v>
      </c>
      <c r="E162" s="42" t="s">
        <v>186</v>
      </c>
      <c r="F162" s="56"/>
      <c r="G162" s="45">
        <f>G164</f>
        <v>204.8</v>
      </c>
      <c r="H162" s="45">
        <f>H164</f>
        <v>1487.4</v>
      </c>
      <c r="I162" s="45">
        <f>I164</f>
        <v>2075</v>
      </c>
    </row>
    <row r="163" spans="1:11" x14ac:dyDescent="0.2">
      <c r="A163" s="41" t="s">
        <v>180</v>
      </c>
      <c r="B163" s="57"/>
      <c r="C163" s="56" t="s">
        <v>45</v>
      </c>
      <c r="D163" s="56" t="s">
        <v>42</v>
      </c>
      <c r="E163" s="42" t="s">
        <v>187</v>
      </c>
      <c r="F163" s="44"/>
      <c r="G163" s="45">
        <f>G164</f>
        <v>204.8</v>
      </c>
      <c r="H163" s="45">
        <f>H164</f>
        <v>1487.4</v>
      </c>
      <c r="I163" s="45">
        <f>I164</f>
        <v>2075</v>
      </c>
    </row>
    <row r="164" spans="1:11" ht="25.5" x14ac:dyDescent="0.2">
      <c r="A164" s="41" t="s">
        <v>83</v>
      </c>
      <c r="B164" s="85"/>
      <c r="C164" s="56" t="s">
        <v>45</v>
      </c>
      <c r="D164" s="56" t="s">
        <v>42</v>
      </c>
      <c r="E164" s="42" t="s">
        <v>187</v>
      </c>
      <c r="F164" s="56" t="s">
        <v>84</v>
      </c>
      <c r="G164" s="1">
        <v>204.8</v>
      </c>
      <c r="H164" s="45">
        <v>1487.4</v>
      </c>
      <c r="I164" s="74">
        <f>975+100+1000</f>
        <v>2075</v>
      </c>
      <c r="K164" s="16"/>
    </row>
    <row r="165" spans="1:11" x14ac:dyDescent="0.2">
      <c r="A165" s="41" t="s">
        <v>158</v>
      </c>
      <c r="B165" s="85"/>
      <c r="C165" s="56" t="s">
        <v>45</v>
      </c>
      <c r="D165" s="56" t="s">
        <v>42</v>
      </c>
      <c r="E165" s="42" t="s">
        <v>188</v>
      </c>
      <c r="F165" s="56"/>
      <c r="G165" s="45">
        <f t="shared" ref="G165:I166" si="10">G166</f>
        <v>508.7</v>
      </c>
      <c r="H165" s="45">
        <f t="shared" si="10"/>
        <v>100</v>
      </c>
      <c r="I165" s="45">
        <f t="shared" si="10"/>
        <v>100</v>
      </c>
    </row>
    <row r="166" spans="1:11" x14ac:dyDescent="0.2">
      <c r="A166" s="41" t="s">
        <v>181</v>
      </c>
      <c r="B166" s="85"/>
      <c r="C166" s="56" t="s">
        <v>45</v>
      </c>
      <c r="D166" s="56" t="s">
        <v>42</v>
      </c>
      <c r="E166" s="42" t="s">
        <v>189</v>
      </c>
      <c r="F166" s="56"/>
      <c r="G166" s="45">
        <f t="shared" si="10"/>
        <v>508.7</v>
      </c>
      <c r="H166" s="45">
        <f t="shared" si="10"/>
        <v>100</v>
      </c>
      <c r="I166" s="45">
        <f t="shared" si="10"/>
        <v>100</v>
      </c>
    </row>
    <row r="167" spans="1:11" ht="25.5" x14ac:dyDescent="0.2">
      <c r="A167" s="41" t="s">
        <v>83</v>
      </c>
      <c r="B167" s="85"/>
      <c r="C167" s="56" t="s">
        <v>45</v>
      </c>
      <c r="D167" s="56" t="s">
        <v>42</v>
      </c>
      <c r="E167" s="42" t="s">
        <v>189</v>
      </c>
      <c r="F167" s="56" t="s">
        <v>84</v>
      </c>
      <c r="G167" s="45">
        <f>100+100+268.8+35.5+3.7+345.6-3.7-341.2</f>
        <v>508.7</v>
      </c>
      <c r="H167" s="45">
        <v>100</v>
      </c>
      <c r="I167" s="45">
        <v>100</v>
      </c>
    </row>
    <row r="168" spans="1:11" x14ac:dyDescent="0.2">
      <c r="A168" s="127" t="s">
        <v>61</v>
      </c>
      <c r="B168" s="128"/>
      <c r="C168" s="43" t="s">
        <v>45</v>
      </c>
      <c r="D168" s="43" t="s">
        <v>42</v>
      </c>
      <c r="E168" s="55" t="s">
        <v>93</v>
      </c>
      <c r="F168" s="43"/>
      <c r="G168" s="45">
        <f>G169</f>
        <v>1395.798</v>
      </c>
      <c r="H168" s="45"/>
      <c r="I168" s="45"/>
    </row>
    <row r="169" spans="1:11" x14ac:dyDescent="0.2">
      <c r="A169" s="127" t="s">
        <v>61</v>
      </c>
      <c r="B169" s="128"/>
      <c r="C169" s="43" t="s">
        <v>45</v>
      </c>
      <c r="D169" s="43" t="s">
        <v>42</v>
      </c>
      <c r="E169" s="66" t="s">
        <v>94</v>
      </c>
      <c r="F169" s="43"/>
      <c r="G169" s="45">
        <f>G170</f>
        <v>1395.798</v>
      </c>
      <c r="H169" s="45"/>
      <c r="I169" s="45"/>
    </row>
    <row r="170" spans="1:11" x14ac:dyDescent="0.2">
      <c r="A170" s="127" t="s">
        <v>264</v>
      </c>
      <c r="B170" s="128"/>
      <c r="C170" s="43" t="s">
        <v>45</v>
      </c>
      <c r="D170" s="43" t="s">
        <v>42</v>
      </c>
      <c r="E170" s="66" t="s">
        <v>111</v>
      </c>
      <c r="F170" s="43"/>
      <c r="G170" s="45">
        <f>G171+G175+G177+G179+G174</f>
        <v>1395.798</v>
      </c>
      <c r="H170" s="45"/>
      <c r="I170" s="45"/>
    </row>
    <row r="171" spans="1:11" ht="105" x14ac:dyDescent="0.25">
      <c r="A171" s="115" t="s">
        <v>265</v>
      </c>
      <c r="B171" s="128"/>
      <c r="C171" s="43" t="s">
        <v>45</v>
      </c>
      <c r="D171" s="43" t="s">
        <v>42</v>
      </c>
      <c r="E171" s="67" t="s">
        <v>266</v>
      </c>
      <c r="F171" s="43"/>
      <c r="G171" s="45">
        <f>G172</f>
        <v>180</v>
      </c>
      <c r="H171" s="45"/>
      <c r="I171" s="45"/>
    </row>
    <row r="172" spans="1:11" ht="25.5" x14ac:dyDescent="0.2">
      <c r="A172" s="53" t="s">
        <v>83</v>
      </c>
      <c r="B172" s="128"/>
      <c r="C172" s="43" t="s">
        <v>45</v>
      </c>
      <c r="D172" s="43" t="s">
        <v>42</v>
      </c>
      <c r="E172" s="67" t="s">
        <v>266</v>
      </c>
      <c r="F172" s="43" t="s">
        <v>84</v>
      </c>
      <c r="G172" s="45">
        <f>42.9+180-42.9</f>
        <v>180</v>
      </c>
      <c r="H172" s="45"/>
      <c r="I172" s="45"/>
    </row>
    <row r="173" spans="1:11" ht="25.5" x14ac:dyDescent="0.2">
      <c r="A173" s="53" t="s">
        <v>275</v>
      </c>
      <c r="B173" s="128"/>
      <c r="C173" s="43" t="s">
        <v>45</v>
      </c>
      <c r="D173" s="43" t="s">
        <v>42</v>
      </c>
      <c r="E173" s="67" t="s">
        <v>274</v>
      </c>
      <c r="F173" s="43"/>
      <c r="G173" s="45">
        <f>G174</f>
        <v>199.99799999999999</v>
      </c>
      <c r="H173" s="45"/>
      <c r="I173" s="45"/>
    </row>
    <row r="174" spans="1:11" ht="25.5" x14ac:dyDescent="0.2">
      <c r="A174" s="53" t="s">
        <v>83</v>
      </c>
      <c r="B174" s="128"/>
      <c r="C174" s="43" t="s">
        <v>45</v>
      </c>
      <c r="D174" s="43" t="s">
        <v>42</v>
      </c>
      <c r="E174" s="67" t="s">
        <v>274</v>
      </c>
      <c r="F174" s="43" t="s">
        <v>84</v>
      </c>
      <c r="G174" s="45">
        <f>99.999*2</f>
        <v>199.99799999999999</v>
      </c>
      <c r="H174" s="45"/>
      <c r="I174" s="45"/>
    </row>
    <row r="175" spans="1:11" ht="25.5" x14ac:dyDescent="0.2">
      <c r="A175" s="53" t="s">
        <v>308</v>
      </c>
      <c r="B175" s="128"/>
      <c r="C175" s="43" t="s">
        <v>45</v>
      </c>
      <c r="D175" s="43" t="s">
        <v>42</v>
      </c>
      <c r="E175" s="67" t="s">
        <v>306</v>
      </c>
      <c r="F175" s="43"/>
      <c r="G175" s="45">
        <f>G176</f>
        <v>0</v>
      </c>
      <c r="H175" s="45"/>
      <c r="I175" s="45"/>
    </row>
    <row r="176" spans="1:11" ht="38.25" x14ac:dyDescent="0.2">
      <c r="A176" s="53" t="s">
        <v>309</v>
      </c>
      <c r="B176" s="128"/>
      <c r="C176" s="43" t="s">
        <v>45</v>
      </c>
      <c r="D176" s="43" t="s">
        <v>42</v>
      </c>
      <c r="E176" s="67" t="s">
        <v>306</v>
      </c>
      <c r="F176" s="43" t="s">
        <v>307</v>
      </c>
      <c r="G176" s="45">
        <v>0</v>
      </c>
      <c r="H176" s="45"/>
      <c r="I176" s="45"/>
    </row>
    <row r="177" spans="1:9" ht="25.5" x14ac:dyDescent="0.2">
      <c r="A177" s="53" t="s">
        <v>316</v>
      </c>
      <c r="B177" s="128"/>
      <c r="C177" s="43" t="s">
        <v>45</v>
      </c>
      <c r="D177" s="43" t="s">
        <v>42</v>
      </c>
      <c r="E177" s="67" t="s">
        <v>317</v>
      </c>
      <c r="F177" s="43"/>
      <c r="G177" s="45">
        <f>G178</f>
        <v>933.1</v>
      </c>
      <c r="H177" s="45"/>
      <c r="I177" s="45"/>
    </row>
    <row r="178" spans="1:9" ht="24.75" customHeight="1" x14ac:dyDescent="0.2">
      <c r="A178" s="41" t="s">
        <v>83</v>
      </c>
      <c r="B178" s="128"/>
      <c r="C178" s="43" t="s">
        <v>45</v>
      </c>
      <c r="D178" s="43" t="s">
        <v>42</v>
      </c>
      <c r="E178" s="67" t="s">
        <v>317</v>
      </c>
      <c r="F178" s="43" t="s">
        <v>84</v>
      </c>
      <c r="G178" s="45">
        <v>933.1</v>
      </c>
      <c r="H178" s="45"/>
      <c r="I178" s="45"/>
    </row>
    <row r="179" spans="1:9" ht="24.75" customHeight="1" x14ac:dyDescent="0.2">
      <c r="A179" s="41" t="s">
        <v>180</v>
      </c>
      <c r="B179" s="128"/>
      <c r="C179" s="43" t="s">
        <v>45</v>
      </c>
      <c r="D179" s="43" t="s">
        <v>42</v>
      </c>
      <c r="E179" s="67" t="s">
        <v>319</v>
      </c>
      <c r="F179" s="43"/>
      <c r="G179" s="45">
        <f>G180</f>
        <v>82.7</v>
      </c>
      <c r="H179" s="45"/>
      <c r="I179" s="45"/>
    </row>
    <row r="180" spans="1:9" ht="24.75" customHeight="1" x14ac:dyDescent="0.2">
      <c r="A180" s="41" t="s">
        <v>83</v>
      </c>
      <c r="B180" s="128"/>
      <c r="C180" s="43" t="s">
        <v>45</v>
      </c>
      <c r="D180" s="43" t="s">
        <v>42</v>
      </c>
      <c r="E180" s="67" t="s">
        <v>319</v>
      </c>
      <c r="F180" s="43" t="s">
        <v>84</v>
      </c>
      <c r="G180" s="45">
        <f>64.9+17.8</f>
        <v>82.7</v>
      </c>
      <c r="H180" s="45"/>
      <c r="I180" s="45"/>
    </row>
    <row r="181" spans="1:9" x14ac:dyDescent="0.2">
      <c r="A181" s="41" t="s">
        <v>23</v>
      </c>
      <c r="B181" s="85"/>
      <c r="C181" s="86" t="s">
        <v>45</v>
      </c>
      <c r="D181" s="86" t="s">
        <v>38</v>
      </c>
      <c r="E181" s="44"/>
      <c r="F181" s="44"/>
      <c r="G181" s="76">
        <f>G182+G203+G206</f>
        <v>3769.9200000000005</v>
      </c>
      <c r="H181" s="76">
        <f>H182</f>
        <v>3866.5</v>
      </c>
      <c r="I181" s="76">
        <f>I182</f>
        <v>3766.5</v>
      </c>
    </row>
    <row r="182" spans="1:9" ht="44.25" customHeight="1" x14ac:dyDescent="0.2">
      <c r="A182" s="41" t="s">
        <v>153</v>
      </c>
      <c r="B182" s="85"/>
      <c r="C182" s="56" t="s">
        <v>45</v>
      </c>
      <c r="D182" s="44" t="s">
        <v>38</v>
      </c>
      <c r="E182" s="42" t="s">
        <v>182</v>
      </c>
      <c r="F182" s="56"/>
      <c r="G182" s="45">
        <f>G184+G188+G193+G196</f>
        <v>3718.9200000000005</v>
      </c>
      <c r="H182" s="45">
        <f>H184+H188+H193+H196</f>
        <v>3866.5</v>
      </c>
      <c r="I182" s="45">
        <f>I184+I188+I193+I196</f>
        <v>3766.5</v>
      </c>
    </row>
    <row r="183" spans="1:9" ht="39.75" customHeight="1" x14ac:dyDescent="0.2">
      <c r="A183" s="41" t="s">
        <v>153</v>
      </c>
      <c r="B183" s="85"/>
      <c r="C183" s="56" t="s">
        <v>45</v>
      </c>
      <c r="D183" s="44" t="s">
        <v>38</v>
      </c>
      <c r="E183" s="42" t="s">
        <v>183</v>
      </c>
      <c r="F183" s="56"/>
      <c r="G183" s="45">
        <f>SUM(G185,G194,G189,G197)</f>
        <v>3694.1200000000003</v>
      </c>
      <c r="H183" s="45">
        <f>SUM(H185,H194,H189,H197)</f>
        <v>3696.5</v>
      </c>
      <c r="I183" s="45">
        <f>SUM(I185,I194,I189,I197)</f>
        <v>3596.5</v>
      </c>
    </row>
    <row r="184" spans="1:9" ht="25.5" x14ac:dyDescent="0.2">
      <c r="A184" s="41" t="s">
        <v>154</v>
      </c>
      <c r="B184" s="85"/>
      <c r="C184" s="44" t="s">
        <v>45</v>
      </c>
      <c r="D184" s="44" t="s">
        <v>38</v>
      </c>
      <c r="E184" s="42" t="s">
        <v>190</v>
      </c>
      <c r="F184" s="56"/>
      <c r="G184" s="45">
        <f t="shared" ref="G184:I185" si="11">G185</f>
        <v>3110.5200000000004</v>
      </c>
      <c r="H184" s="45">
        <f t="shared" si="11"/>
        <v>2600</v>
      </c>
      <c r="I184" s="45">
        <f t="shared" si="11"/>
        <v>2600</v>
      </c>
    </row>
    <row r="185" spans="1:9" x14ac:dyDescent="0.2">
      <c r="A185" s="41" t="s">
        <v>71</v>
      </c>
      <c r="B185" s="85"/>
      <c r="C185" s="44" t="s">
        <v>45</v>
      </c>
      <c r="D185" s="44" t="s">
        <v>38</v>
      </c>
      <c r="E185" s="55" t="s">
        <v>191</v>
      </c>
      <c r="F185" s="56"/>
      <c r="G185" s="45">
        <f t="shared" si="11"/>
        <v>3110.5200000000004</v>
      </c>
      <c r="H185" s="45">
        <f t="shared" si="11"/>
        <v>2600</v>
      </c>
      <c r="I185" s="45">
        <f t="shared" si="11"/>
        <v>2600</v>
      </c>
    </row>
    <row r="186" spans="1:9" ht="25.5" x14ac:dyDescent="0.2">
      <c r="A186" s="41" t="s">
        <v>83</v>
      </c>
      <c r="B186" s="59"/>
      <c r="C186" s="44" t="s">
        <v>45</v>
      </c>
      <c r="D186" s="44" t="s">
        <v>38</v>
      </c>
      <c r="E186" s="42" t="s">
        <v>191</v>
      </c>
      <c r="F186" s="56" t="s">
        <v>84</v>
      </c>
      <c r="G186" s="45">
        <f>2258.42-100+40.8+75+836.3</f>
        <v>3110.5200000000004</v>
      </c>
      <c r="H186" s="45">
        <f>2000+300+300</f>
        <v>2600</v>
      </c>
      <c r="I186" s="45">
        <f>2000+300+300</f>
        <v>2600</v>
      </c>
    </row>
    <row r="187" spans="1:9" hidden="1" x14ac:dyDescent="0.2">
      <c r="A187" s="41"/>
      <c r="B187" s="59"/>
      <c r="C187" s="44"/>
      <c r="D187" s="44"/>
      <c r="E187" s="42"/>
      <c r="F187" s="56"/>
      <c r="G187" s="45"/>
      <c r="H187" s="45"/>
      <c r="I187" s="45"/>
    </row>
    <row r="188" spans="1:9" ht="25.5" x14ac:dyDescent="0.2">
      <c r="A188" s="41" t="s">
        <v>156</v>
      </c>
      <c r="B188" s="85"/>
      <c r="C188" s="44" t="s">
        <v>45</v>
      </c>
      <c r="D188" s="44" t="s">
        <v>38</v>
      </c>
      <c r="E188" s="42" t="s">
        <v>192</v>
      </c>
      <c r="F188" s="56"/>
      <c r="G188" s="45">
        <f>G190+G191</f>
        <v>419.3</v>
      </c>
      <c r="H188" s="45">
        <f>H190+H191</f>
        <v>866.5</v>
      </c>
      <c r="I188" s="45">
        <f>I190+I191</f>
        <v>866.5</v>
      </c>
    </row>
    <row r="189" spans="1:9" x14ac:dyDescent="0.2">
      <c r="A189" s="41" t="s">
        <v>73</v>
      </c>
      <c r="B189" s="57"/>
      <c r="C189" s="44" t="s">
        <v>45</v>
      </c>
      <c r="D189" s="44" t="s">
        <v>38</v>
      </c>
      <c r="E189" s="42" t="s">
        <v>193</v>
      </c>
      <c r="F189" s="56"/>
      <c r="G189" s="45">
        <f>SUM(G190)</f>
        <v>394.5</v>
      </c>
      <c r="H189" s="45">
        <f>SUM(H190)</f>
        <v>696.5</v>
      </c>
      <c r="I189" s="45">
        <f>SUM(I190)</f>
        <v>696.5</v>
      </c>
    </row>
    <row r="190" spans="1:9" ht="25.5" x14ac:dyDescent="0.2">
      <c r="A190" s="41" t="s">
        <v>83</v>
      </c>
      <c r="B190" s="59"/>
      <c r="C190" s="44" t="s">
        <v>45</v>
      </c>
      <c r="D190" s="44" t="s">
        <v>38</v>
      </c>
      <c r="E190" s="42" t="s">
        <v>193</v>
      </c>
      <c r="F190" s="56" t="s">
        <v>84</v>
      </c>
      <c r="G190" s="45">
        <f>651.5-50+1-208</f>
        <v>394.5</v>
      </c>
      <c r="H190" s="45">
        <v>696.5</v>
      </c>
      <c r="I190" s="45">
        <v>696.5</v>
      </c>
    </row>
    <row r="191" spans="1:9" x14ac:dyDescent="0.2">
      <c r="A191" s="41" t="s">
        <v>238</v>
      </c>
      <c r="B191" s="59"/>
      <c r="C191" s="44" t="s">
        <v>45</v>
      </c>
      <c r="D191" s="44" t="s">
        <v>38</v>
      </c>
      <c r="E191" s="42" t="s">
        <v>239</v>
      </c>
      <c r="F191" s="56"/>
      <c r="G191" s="45">
        <f>G192</f>
        <v>24.799999999999997</v>
      </c>
      <c r="H191" s="45">
        <f>H192</f>
        <v>170</v>
      </c>
      <c r="I191" s="45">
        <f>I192</f>
        <v>170</v>
      </c>
    </row>
    <row r="192" spans="1:9" ht="25.5" x14ac:dyDescent="0.2">
      <c r="A192" s="41" t="s">
        <v>83</v>
      </c>
      <c r="B192" s="59"/>
      <c r="C192" s="44" t="s">
        <v>45</v>
      </c>
      <c r="D192" s="44" t="s">
        <v>38</v>
      </c>
      <c r="E192" s="42" t="s">
        <v>239</v>
      </c>
      <c r="F192" s="56" t="s">
        <v>84</v>
      </c>
      <c r="G192" s="45">
        <f>130-105.2</f>
        <v>24.799999999999997</v>
      </c>
      <c r="H192" s="45">
        <v>170</v>
      </c>
      <c r="I192" s="45">
        <v>170</v>
      </c>
    </row>
    <row r="193" spans="1:9" x14ac:dyDescent="0.2">
      <c r="A193" s="41" t="s">
        <v>155</v>
      </c>
      <c r="B193" s="85"/>
      <c r="C193" s="44" t="s">
        <v>45</v>
      </c>
      <c r="D193" s="44" t="s">
        <v>38</v>
      </c>
      <c r="E193" s="42" t="s">
        <v>194</v>
      </c>
      <c r="F193" s="56"/>
      <c r="G193" s="45">
        <f>G195</f>
        <v>75</v>
      </c>
      <c r="H193" s="45">
        <f>H195</f>
        <v>300</v>
      </c>
      <c r="I193" s="45">
        <f>I195</f>
        <v>200</v>
      </c>
    </row>
    <row r="194" spans="1:9" x14ac:dyDescent="0.2">
      <c r="A194" s="54" t="s">
        <v>72</v>
      </c>
      <c r="B194" s="59"/>
      <c r="C194" s="44" t="s">
        <v>45</v>
      </c>
      <c r="D194" s="44" t="s">
        <v>38</v>
      </c>
      <c r="E194" s="42" t="s">
        <v>195</v>
      </c>
      <c r="F194" s="44"/>
      <c r="G194" s="45">
        <f>G195</f>
        <v>75</v>
      </c>
      <c r="H194" s="45">
        <f>H195</f>
        <v>300</v>
      </c>
      <c r="I194" s="45">
        <f>I195</f>
        <v>200</v>
      </c>
    </row>
    <row r="195" spans="1:9" ht="25.5" x14ac:dyDescent="0.2">
      <c r="A195" s="41" t="s">
        <v>83</v>
      </c>
      <c r="B195" s="85"/>
      <c r="C195" s="44" t="s">
        <v>45</v>
      </c>
      <c r="D195" s="44" t="s">
        <v>38</v>
      </c>
      <c r="E195" s="42" t="s">
        <v>195</v>
      </c>
      <c r="F195" s="56" t="s">
        <v>84</v>
      </c>
      <c r="G195" s="45">
        <f>200-125</f>
        <v>75</v>
      </c>
      <c r="H195" s="45">
        <v>300</v>
      </c>
      <c r="I195" s="45">
        <v>200</v>
      </c>
    </row>
    <row r="196" spans="1:9" ht="18.75" customHeight="1" x14ac:dyDescent="0.2">
      <c r="A196" s="41" t="s">
        <v>157</v>
      </c>
      <c r="B196" s="85"/>
      <c r="C196" s="44" t="s">
        <v>45</v>
      </c>
      <c r="D196" s="44" t="s">
        <v>38</v>
      </c>
      <c r="E196" s="42" t="s">
        <v>196</v>
      </c>
      <c r="F196" s="56"/>
      <c r="G196" s="45">
        <f t="shared" ref="G196:I197" si="12">G197</f>
        <v>114.10000000000002</v>
      </c>
      <c r="H196" s="45">
        <f t="shared" si="12"/>
        <v>100</v>
      </c>
      <c r="I196" s="45">
        <f t="shared" si="12"/>
        <v>100</v>
      </c>
    </row>
    <row r="197" spans="1:9" x14ac:dyDescent="0.2">
      <c r="A197" s="41" t="s">
        <v>74</v>
      </c>
      <c r="B197" s="59"/>
      <c r="C197" s="44" t="s">
        <v>45</v>
      </c>
      <c r="D197" s="44" t="s">
        <v>38</v>
      </c>
      <c r="E197" s="42" t="s">
        <v>197</v>
      </c>
      <c r="F197" s="56"/>
      <c r="G197" s="45">
        <f t="shared" si="12"/>
        <v>114.10000000000002</v>
      </c>
      <c r="H197" s="45">
        <f t="shared" si="12"/>
        <v>100</v>
      </c>
      <c r="I197" s="45">
        <f t="shared" si="12"/>
        <v>100</v>
      </c>
    </row>
    <row r="198" spans="1:9" ht="25.5" x14ac:dyDescent="0.2">
      <c r="A198" s="41" t="s">
        <v>83</v>
      </c>
      <c r="B198" s="59"/>
      <c r="C198" s="44" t="s">
        <v>45</v>
      </c>
      <c r="D198" s="44" t="s">
        <v>38</v>
      </c>
      <c r="E198" s="42" t="s">
        <v>197</v>
      </c>
      <c r="F198" s="56" t="s">
        <v>84</v>
      </c>
      <c r="G198" s="45">
        <f>150-70-20+350-295.9</f>
        <v>114.10000000000002</v>
      </c>
      <c r="H198" s="45">
        <v>100</v>
      </c>
      <c r="I198" s="45">
        <v>100</v>
      </c>
    </row>
    <row r="199" spans="1:9" x14ac:dyDescent="0.2">
      <c r="A199" s="127" t="s">
        <v>61</v>
      </c>
      <c r="B199" s="128"/>
      <c r="C199" s="44" t="s">
        <v>45</v>
      </c>
      <c r="D199" s="44" t="s">
        <v>38</v>
      </c>
      <c r="E199" s="55" t="s">
        <v>93</v>
      </c>
      <c r="F199" s="43"/>
      <c r="G199" s="45">
        <f>G200</f>
        <v>29</v>
      </c>
      <c r="H199" s="45"/>
      <c r="I199" s="45"/>
    </row>
    <row r="200" spans="1:9" x14ac:dyDescent="0.2">
      <c r="A200" s="127" t="s">
        <v>61</v>
      </c>
      <c r="B200" s="128"/>
      <c r="C200" s="44" t="s">
        <v>45</v>
      </c>
      <c r="D200" s="44" t="s">
        <v>38</v>
      </c>
      <c r="E200" s="66" t="s">
        <v>94</v>
      </c>
      <c r="F200" s="43"/>
      <c r="G200" s="45">
        <f>G201</f>
        <v>29</v>
      </c>
      <c r="H200" s="45"/>
      <c r="I200" s="45"/>
    </row>
    <row r="201" spans="1:9" x14ac:dyDescent="0.2">
      <c r="A201" s="127" t="s">
        <v>264</v>
      </c>
      <c r="B201" s="128"/>
      <c r="C201" s="44" t="s">
        <v>45</v>
      </c>
      <c r="D201" s="44" t="s">
        <v>38</v>
      </c>
      <c r="E201" s="66" t="s">
        <v>111</v>
      </c>
      <c r="F201" s="43"/>
      <c r="G201" s="45">
        <f>G202</f>
        <v>29</v>
      </c>
      <c r="H201" s="45"/>
      <c r="I201" s="45"/>
    </row>
    <row r="202" spans="1:9" x14ac:dyDescent="0.2">
      <c r="A202" s="41" t="s">
        <v>71</v>
      </c>
      <c r="B202" s="85"/>
      <c r="C202" s="44" t="s">
        <v>45</v>
      </c>
      <c r="D202" s="44" t="s">
        <v>38</v>
      </c>
      <c r="E202" s="55" t="s">
        <v>289</v>
      </c>
      <c r="F202" s="56"/>
      <c r="G202" s="45">
        <f>G203</f>
        <v>29</v>
      </c>
      <c r="H202" s="45"/>
      <c r="I202" s="45"/>
    </row>
    <row r="203" spans="1:9" x14ac:dyDescent="0.2">
      <c r="A203" s="60" t="s">
        <v>82</v>
      </c>
      <c r="B203" s="59"/>
      <c r="C203" s="44" t="s">
        <v>45</v>
      </c>
      <c r="D203" s="44" t="s">
        <v>38</v>
      </c>
      <c r="E203" s="66" t="s">
        <v>289</v>
      </c>
      <c r="F203" s="43" t="s">
        <v>216</v>
      </c>
      <c r="G203" s="45">
        <v>29</v>
      </c>
      <c r="H203" s="45"/>
      <c r="I203" s="45"/>
    </row>
    <row r="204" spans="1:9" hidden="1" x14ac:dyDescent="0.2">
      <c r="A204" s="41"/>
      <c r="B204" s="59"/>
      <c r="C204" s="44"/>
      <c r="D204" s="44"/>
      <c r="E204" s="42"/>
      <c r="F204" s="56"/>
      <c r="G204" s="45"/>
      <c r="H204" s="45"/>
      <c r="I204" s="45"/>
    </row>
    <row r="205" spans="1:9" hidden="1" x14ac:dyDescent="0.2">
      <c r="A205" s="41"/>
      <c r="B205" s="59"/>
      <c r="C205" s="44"/>
      <c r="D205" s="44"/>
      <c r="E205" s="42"/>
      <c r="F205" s="56"/>
      <c r="G205" s="45"/>
      <c r="H205" s="45"/>
      <c r="I205" s="45"/>
    </row>
    <row r="206" spans="1:9" ht="39" x14ac:dyDescent="0.25">
      <c r="A206" s="41" t="s">
        <v>292</v>
      </c>
      <c r="B206" s="126"/>
      <c r="C206" s="44" t="s">
        <v>45</v>
      </c>
      <c r="D206" s="44" t="s">
        <v>38</v>
      </c>
      <c r="E206" s="64" t="s">
        <v>293</v>
      </c>
      <c r="F206" s="44"/>
      <c r="G206" s="76">
        <f>G207</f>
        <v>22</v>
      </c>
      <c r="H206" s="45"/>
      <c r="I206" s="45"/>
    </row>
    <row r="207" spans="1:9" ht="39" x14ac:dyDescent="0.25">
      <c r="A207" s="41" t="s">
        <v>292</v>
      </c>
      <c r="B207" s="126"/>
      <c r="C207" s="44" t="s">
        <v>45</v>
      </c>
      <c r="D207" s="44" t="s">
        <v>38</v>
      </c>
      <c r="E207" s="64" t="s">
        <v>294</v>
      </c>
      <c r="F207" s="44"/>
      <c r="G207" s="76">
        <f>G208</f>
        <v>22</v>
      </c>
      <c r="H207" s="45"/>
      <c r="I207" s="45"/>
    </row>
    <row r="208" spans="1:9" ht="26.25" x14ac:dyDescent="0.25">
      <c r="A208" s="60" t="s">
        <v>315</v>
      </c>
      <c r="B208" s="126"/>
      <c r="C208" s="44" t="s">
        <v>45</v>
      </c>
      <c r="D208" s="44" t="s">
        <v>38</v>
      </c>
      <c r="E208" s="64" t="s">
        <v>311</v>
      </c>
      <c r="F208" s="44"/>
      <c r="G208" s="76">
        <f>G210+G212</f>
        <v>22</v>
      </c>
      <c r="H208" s="45"/>
      <c r="I208" s="45"/>
    </row>
    <row r="209" spans="1:9" ht="64.5" x14ac:dyDescent="0.25">
      <c r="A209" s="41" t="s">
        <v>302</v>
      </c>
      <c r="B209" s="126"/>
      <c r="C209" s="44" t="s">
        <v>45</v>
      </c>
      <c r="D209" s="44" t="s">
        <v>38</v>
      </c>
      <c r="E209" s="64" t="s">
        <v>310</v>
      </c>
      <c r="F209" s="44"/>
      <c r="G209" s="76">
        <f>G210</f>
        <v>20</v>
      </c>
      <c r="H209" s="45"/>
      <c r="I209" s="45"/>
    </row>
    <row r="210" spans="1:9" ht="26.25" x14ac:dyDescent="0.25">
      <c r="A210" s="41" t="s">
        <v>83</v>
      </c>
      <c r="B210" s="126"/>
      <c r="C210" s="44" t="s">
        <v>45</v>
      </c>
      <c r="D210" s="44" t="s">
        <v>38</v>
      </c>
      <c r="E210" s="64" t="s">
        <v>310</v>
      </c>
      <c r="F210" s="43" t="s">
        <v>84</v>
      </c>
      <c r="G210" s="76">
        <v>20</v>
      </c>
      <c r="H210" s="45"/>
      <c r="I210" s="45"/>
    </row>
    <row r="211" spans="1:9" ht="64.5" x14ac:dyDescent="0.25">
      <c r="A211" s="41" t="s">
        <v>303</v>
      </c>
      <c r="B211" s="126"/>
      <c r="C211" s="44" t="s">
        <v>45</v>
      </c>
      <c r="D211" s="44" t="s">
        <v>38</v>
      </c>
      <c r="E211" s="64" t="s">
        <v>314</v>
      </c>
      <c r="F211" s="44"/>
      <c r="G211" s="76">
        <f>G212</f>
        <v>2</v>
      </c>
      <c r="H211" s="45"/>
      <c r="I211" s="45"/>
    </row>
    <row r="212" spans="1:9" ht="26.25" x14ac:dyDescent="0.25">
      <c r="A212" s="41" t="s">
        <v>83</v>
      </c>
      <c r="B212" s="126"/>
      <c r="C212" s="44" t="s">
        <v>45</v>
      </c>
      <c r="D212" s="44" t="s">
        <v>38</v>
      </c>
      <c r="E212" s="64" t="s">
        <v>314</v>
      </c>
      <c r="F212" s="43" t="s">
        <v>84</v>
      </c>
      <c r="G212" s="76">
        <v>2</v>
      </c>
      <c r="H212" s="45"/>
      <c r="I212" s="45"/>
    </row>
    <row r="213" spans="1:9" ht="30" x14ac:dyDescent="0.25">
      <c r="A213" s="129" t="s">
        <v>276</v>
      </c>
      <c r="B213" s="59"/>
      <c r="C213" s="39" t="s">
        <v>45</v>
      </c>
      <c r="D213" s="39" t="s">
        <v>45</v>
      </c>
      <c r="E213" s="42"/>
      <c r="F213" s="56"/>
      <c r="G213" s="45">
        <f t="shared" ref="G213:I214" si="13">G214</f>
        <v>128.9</v>
      </c>
      <c r="H213" s="45">
        <f t="shared" si="13"/>
        <v>130</v>
      </c>
      <c r="I213" s="45">
        <f t="shared" si="13"/>
        <v>130</v>
      </c>
    </row>
    <row r="214" spans="1:9" ht="25.5" x14ac:dyDescent="0.25">
      <c r="A214" s="54" t="s">
        <v>120</v>
      </c>
      <c r="B214" s="59"/>
      <c r="C214" s="43" t="s">
        <v>45</v>
      </c>
      <c r="D214" s="43" t="s">
        <v>45</v>
      </c>
      <c r="E214" s="42" t="s">
        <v>116</v>
      </c>
      <c r="F214" s="49"/>
      <c r="G214" s="130">
        <f t="shared" si="13"/>
        <v>128.9</v>
      </c>
      <c r="H214" s="130">
        <f t="shared" si="13"/>
        <v>130</v>
      </c>
      <c r="I214" s="130">
        <f t="shared" si="13"/>
        <v>130</v>
      </c>
    </row>
    <row r="215" spans="1:9" ht="38.25" x14ac:dyDescent="0.2">
      <c r="A215" s="60" t="s">
        <v>168</v>
      </c>
      <c r="B215" s="61"/>
      <c r="C215" s="43" t="s">
        <v>45</v>
      </c>
      <c r="D215" s="43" t="s">
        <v>45</v>
      </c>
      <c r="E215" s="42" t="s">
        <v>136</v>
      </c>
      <c r="F215" s="62" t="s">
        <v>16</v>
      </c>
      <c r="G215" s="45">
        <f>SUM(G216)</f>
        <v>128.9</v>
      </c>
      <c r="H215" s="45">
        <f>SUM(H216)</f>
        <v>130</v>
      </c>
      <c r="I215" s="45">
        <f>SUM(I216)</f>
        <v>130</v>
      </c>
    </row>
    <row r="216" spans="1:9" ht="25.5" x14ac:dyDescent="0.2">
      <c r="A216" s="54" t="s">
        <v>141</v>
      </c>
      <c r="B216" s="59"/>
      <c r="C216" s="43" t="s">
        <v>45</v>
      </c>
      <c r="D216" s="43" t="s">
        <v>45</v>
      </c>
      <c r="E216" s="42" t="s">
        <v>137</v>
      </c>
      <c r="F216" s="62" t="s">
        <v>16</v>
      </c>
      <c r="G216" s="45">
        <f>SUM(G218)</f>
        <v>128.9</v>
      </c>
      <c r="H216" s="45">
        <f>SUM(H218)</f>
        <v>130</v>
      </c>
      <c r="I216" s="45">
        <f>SUM(I218)</f>
        <v>130</v>
      </c>
    </row>
    <row r="217" spans="1:9" ht="25.5" x14ac:dyDescent="0.2">
      <c r="A217" s="41" t="s">
        <v>143</v>
      </c>
      <c r="B217" s="59"/>
      <c r="C217" s="43" t="s">
        <v>45</v>
      </c>
      <c r="D217" s="43" t="s">
        <v>45</v>
      </c>
      <c r="E217" s="42" t="s">
        <v>142</v>
      </c>
      <c r="F217" s="62"/>
      <c r="G217" s="45">
        <f>G218</f>
        <v>128.9</v>
      </c>
      <c r="H217" s="45">
        <f>H218</f>
        <v>130</v>
      </c>
      <c r="I217" s="45">
        <f>I218</f>
        <v>130</v>
      </c>
    </row>
    <row r="218" spans="1:9" ht="21" customHeight="1" x14ac:dyDescent="0.2">
      <c r="A218" s="63" t="s">
        <v>144</v>
      </c>
      <c r="B218" s="59"/>
      <c r="C218" s="43" t="s">
        <v>45</v>
      </c>
      <c r="D218" s="43" t="s">
        <v>45</v>
      </c>
      <c r="E218" s="64" t="s">
        <v>140</v>
      </c>
      <c r="F218" s="42">
        <v>110</v>
      </c>
      <c r="G218" s="45">
        <f>130-1.1</f>
        <v>128.9</v>
      </c>
      <c r="H218" s="45">
        <v>130</v>
      </c>
      <c r="I218" s="45">
        <v>130</v>
      </c>
    </row>
    <row r="219" spans="1:9" x14ac:dyDescent="0.2">
      <c r="A219" s="37" t="s">
        <v>15</v>
      </c>
      <c r="B219" s="50">
        <v>911</v>
      </c>
      <c r="C219" s="39" t="s">
        <v>46</v>
      </c>
      <c r="D219" s="39" t="s">
        <v>37</v>
      </c>
      <c r="E219" s="50"/>
      <c r="F219" s="50" t="s">
        <v>16</v>
      </c>
      <c r="G219" s="40">
        <f>SUM(G220,G259)</f>
        <v>5227.768</v>
      </c>
      <c r="H219" s="40">
        <f>SUM(H220,H259)</f>
        <v>5289.1950000000006</v>
      </c>
      <c r="I219" s="40">
        <f>SUM(I220,I259)</f>
        <v>5178.2260000000006</v>
      </c>
    </row>
    <row r="220" spans="1:9" x14ac:dyDescent="0.2">
      <c r="A220" s="41" t="s">
        <v>13</v>
      </c>
      <c r="B220" s="59"/>
      <c r="C220" s="56" t="s">
        <v>46</v>
      </c>
      <c r="D220" s="56" t="s">
        <v>36</v>
      </c>
      <c r="E220" s="62"/>
      <c r="F220" s="62" t="s">
        <v>16</v>
      </c>
      <c r="G220" s="45">
        <f>SUM(G221)+G244+G251</f>
        <v>4514.0680000000002</v>
      </c>
      <c r="H220" s="45">
        <f>SUM(H221)+H244</f>
        <v>4181.3950000000004</v>
      </c>
      <c r="I220" s="45">
        <f>SUM(I221)+I244</f>
        <v>4069.9170000000004</v>
      </c>
    </row>
    <row r="221" spans="1:9" ht="25.5" x14ac:dyDescent="0.2">
      <c r="A221" s="54" t="s">
        <v>120</v>
      </c>
      <c r="B221" s="59"/>
      <c r="C221" s="56" t="s">
        <v>46</v>
      </c>
      <c r="D221" s="56" t="s">
        <v>36</v>
      </c>
      <c r="E221" s="42" t="s">
        <v>116</v>
      </c>
      <c r="F221" s="62" t="s">
        <v>16</v>
      </c>
      <c r="G221" s="45">
        <f>G222+G236+G230</f>
        <v>3761.1680000000001</v>
      </c>
      <c r="H221" s="45">
        <f>H222+H236+H230</f>
        <v>4181.3950000000004</v>
      </c>
      <c r="I221" s="45">
        <f>I222+I236+I230</f>
        <v>4069.9170000000004</v>
      </c>
    </row>
    <row r="222" spans="1:9" ht="25.5" x14ac:dyDescent="0.2">
      <c r="A222" s="54" t="s">
        <v>198</v>
      </c>
      <c r="B222" s="59"/>
      <c r="C222" s="56" t="s">
        <v>46</v>
      </c>
      <c r="D222" s="56" t="s">
        <v>36</v>
      </c>
      <c r="E222" s="42" t="s">
        <v>117</v>
      </c>
      <c r="F222" s="62" t="s">
        <v>16</v>
      </c>
      <c r="G222" s="45">
        <f>G223</f>
        <v>2753.5169999999998</v>
      </c>
      <c r="H222" s="45">
        <f>H223</f>
        <v>2782.4300000000003</v>
      </c>
      <c r="I222" s="45">
        <f>I223</f>
        <v>2735.4520000000002</v>
      </c>
    </row>
    <row r="223" spans="1:9" x14ac:dyDescent="0.2">
      <c r="A223" s="54" t="s">
        <v>115</v>
      </c>
      <c r="B223" s="59"/>
      <c r="C223" s="56" t="s">
        <v>46</v>
      </c>
      <c r="D223" s="56" t="s">
        <v>36</v>
      </c>
      <c r="E223" s="42" t="s">
        <v>118</v>
      </c>
      <c r="F223" s="62"/>
      <c r="G223" s="45">
        <f>G224+G228</f>
        <v>2753.5169999999998</v>
      </c>
      <c r="H223" s="45">
        <f>H224+H228</f>
        <v>2782.4300000000003</v>
      </c>
      <c r="I223" s="45">
        <f>I224+I228</f>
        <v>2735.4520000000002</v>
      </c>
    </row>
    <row r="224" spans="1:9" x14ac:dyDescent="0.2">
      <c r="A224" s="54" t="s">
        <v>75</v>
      </c>
      <c r="B224" s="59"/>
      <c r="C224" s="56" t="s">
        <v>46</v>
      </c>
      <c r="D224" s="56" t="s">
        <v>36</v>
      </c>
      <c r="E224" s="66" t="s">
        <v>119</v>
      </c>
      <c r="F224" s="62"/>
      <c r="G224" s="45">
        <f>SUM(G225,G227)+G226</f>
        <v>2753.5169999999998</v>
      </c>
      <c r="H224" s="45">
        <f>SUM(H225,H227)+H226</f>
        <v>2782.4300000000003</v>
      </c>
      <c r="I224" s="45">
        <f>SUM(I225,I227)+I226</f>
        <v>2735.4520000000002</v>
      </c>
    </row>
    <row r="225" spans="1:9" x14ac:dyDescent="0.2">
      <c r="A225" s="63" t="s">
        <v>144</v>
      </c>
      <c r="B225" s="59"/>
      <c r="C225" s="56" t="s">
        <v>46</v>
      </c>
      <c r="D225" s="56" t="s">
        <v>36</v>
      </c>
      <c r="E225" s="67" t="s">
        <v>119</v>
      </c>
      <c r="F225" s="42">
        <v>110</v>
      </c>
      <c r="G225" s="45">
        <f>965.344+1.102+291.53-G226+180+155</f>
        <v>1185.0040000000001</v>
      </c>
      <c r="H225" s="45">
        <f>965.344+1.102+291.53-H226</f>
        <v>1005.0040000000001</v>
      </c>
      <c r="I225" s="45">
        <f>965.344+1.102+291.53-I226</f>
        <v>1005.0040000000001</v>
      </c>
    </row>
    <row r="226" spans="1:9" x14ac:dyDescent="0.2">
      <c r="A226" s="63" t="s">
        <v>144</v>
      </c>
      <c r="B226" s="59"/>
      <c r="C226" s="56" t="s">
        <v>46</v>
      </c>
      <c r="D226" s="56" t="s">
        <v>36</v>
      </c>
      <c r="E226" s="67" t="s">
        <v>211</v>
      </c>
      <c r="F226" s="42">
        <v>110</v>
      </c>
      <c r="G226" s="45">
        <f>252.972+155</f>
        <v>407.97199999999998</v>
      </c>
      <c r="H226" s="45">
        <v>252.97200000000001</v>
      </c>
      <c r="I226" s="45">
        <v>252.97200000000001</v>
      </c>
    </row>
    <row r="227" spans="1:9" ht="25.5" x14ac:dyDescent="0.2">
      <c r="A227" s="41" t="s">
        <v>83</v>
      </c>
      <c r="B227" s="59"/>
      <c r="C227" s="56" t="s">
        <v>46</v>
      </c>
      <c r="D227" s="56" t="s">
        <v>36</v>
      </c>
      <c r="E227" s="67" t="s">
        <v>119</v>
      </c>
      <c r="F227" s="56" t="s">
        <v>84</v>
      </c>
      <c r="G227" s="45">
        <f>8.3+201.224+171.757+397.78+89.5+442.5+6+98.752-30.8-131.072-100+6.5+1.7+25-26.6</f>
        <v>1160.5409999999999</v>
      </c>
      <c r="H227" s="45">
        <f>8.3+201.224+173.15+397.78+89.5+549+6+99.5</f>
        <v>1524.454</v>
      </c>
      <c r="I227" s="45">
        <f>8.3+201.224+174.472+397.78+89.5+500+6+100.2</f>
        <v>1477.4759999999999</v>
      </c>
    </row>
    <row r="228" spans="1:9" ht="25.5" hidden="1" x14ac:dyDescent="0.2">
      <c r="A228" s="41" t="s">
        <v>212</v>
      </c>
      <c r="B228" s="59"/>
      <c r="C228" s="56" t="s">
        <v>46</v>
      </c>
      <c r="D228" s="56" t="s">
        <v>36</v>
      </c>
      <c r="E228" s="67" t="s">
        <v>211</v>
      </c>
      <c r="F228" s="62"/>
      <c r="G228" s="45">
        <f>G229</f>
        <v>0</v>
      </c>
      <c r="H228" s="45">
        <f>H229</f>
        <v>0</v>
      </c>
      <c r="I228" s="45">
        <f>I229</f>
        <v>0</v>
      </c>
    </row>
    <row r="229" spans="1:9" hidden="1" x14ac:dyDescent="0.2">
      <c r="A229" s="63" t="s">
        <v>144</v>
      </c>
      <c r="B229" s="59"/>
      <c r="C229" s="56" t="s">
        <v>46</v>
      </c>
      <c r="D229" s="56" t="s">
        <v>36</v>
      </c>
      <c r="E229" s="67" t="s">
        <v>211</v>
      </c>
      <c r="F229" s="42">
        <v>110</v>
      </c>
      <c r="G229" s="45"/>
      <c r="H229" s="45"/>
      <c r="I229" s="45"/>
    </row>
    <row r="230" spans="1:9" x14ac:dyDescent="0.2">
      <c r="A230" s="54" t="s">
        <v>242</v>
      </c>
      <c r="B230" s="59"/>
      <c r="C230" s="56" t="s">
        <v>46</v>
      </c>
      <c r="D230" s="56" t="s">
        <v>36</v>
      </c>
      <c r="E230" s="67" t="s">
        <v>248</v>
      </c>
      <c r="F230" s="42"/>
      <c r="G230" s="45">
        <f t="shared" ref="G230:I231" si="14">G231</f>
        <v>420.74800000000005</v>
      </c>
      <c r="H230" s="45">
        <f t="shared" si="14"/>
        <v>616.06200000000001</v>
      </c>
      <c r="I230" s="45">
        <f t="shared" si="14"/>
        <v>551.56200000000001</v>
      </c>
    </row>
    <row r="231" spans="1:9" x14ac:dyDescent="0.2">
      <c r="A231" s="54" t="s">
        <v>243</v>
      </c>
      <c r="B231" s="59"/>
      <c r="C231" s="56" t="s">
        <v>46</v>
      </c>
      <c r="D231" s="56" t="s">
        <v>36</v>
      </c>
      <c r="E231" s="67" t="s">
        <v>245</v>
      </c>
      <c r="F231" s="42"/>
      <c r="G231" s="45">
        <f t="shared" si="14"/>
        <v>420.74800000000005</v>
      </c>
      <c r="H231" s="45">
        <f t="shared" si="14"/>
        <v>616.06200000000001</v>
      </c>
      <c r="I231" s="45">
        <f t="shared" si="14"/>
        <v>551.56200000000001</v>
      </c>
    </row>
    <row r="232" spans="1:9" x14ac:dyDescent="0.2">
      <c r="A232" s="54" t="s">
        <v>244</v>
      </c>
      <c r="B232" s="59"/>
      <c r="C232" s="56" t="s">
        <v>46</v>
      </c>
      <c r="D232" s="56" t="s">
        <v>36</v>
      </c>
      <c r="E232" s="67" t="s">
        <v>245</v>
      </c>
      <c r="F232" s="42"/>
      <c r="G232" s="45">
        <f>G233+G235+G234</f>
        <v>420.74800000000005</v>
      </c>
      <c r="H232" s="45">
        <f>H233+H235+H234</f>
        <v>616.06200000000001</v>
      </c>
      <c r="I232" s="45">
        <f>I233+I235+I234</f>
        <v>551.56200000000001</v>
      </c>
    </row>
    <row r="233" spans="1:9" x14ac:dyDescent="0.2">
      <c r="A233" s="63" t="s">
        <v>144</v>
      </c>
      <c r="B233" s="59"/>
      <c r="C233" s="56" t="s">
        <v>46</v>
      </c>
      <c r="D233" s="56" t="s">
        <v>36</v>
      </c>
      <c r="E233" s="67" t="s">
        <v>245</v>
      </c>
      <c r="F233" s="42">
        <v>110</v>
      </c>
      <c r="G233" s="45">
        <f>265.4+80.162-51-34.986-12.44</f>
        <v>247.13600000000002</v>
      </c>
      <c r="H233" s="45">
        <f>265.4+80.162-H234</f>
        <v>294.60900000000004</v>
      </c>
      <c r="I233" s="45">
        <f>265.4+80.162-I234</f>
        <v>294.60900000000004</v>
      </c>
    </row>
    <row r="234" spans="1:9" x14ac:dyDescent="0.2">
      <c r="A234" s="63" t="s">
        <v>144</v>
      </c>
      <c r="B234" s="59"/>
      <c r="C234" s="56" t="s">
        <v>46</v>
      </c>
      <c r="D234" s="56" t="s">
        <v>36</v>
      </c>
      <c r="E234" s="67" t="s">
        <v>257</v>
      </c>
      <c r="F234" s="42">
        <v>110</v>
      </c>
      <c r="G234" s="45">
        <f>50.953-4.18-1.561</f>
        <v>45.212000000000003</v>
      </c>
      <c r="H234" s="45">
        <v>50.953000000000003</v>
      </c>
      <c r="I234" s="45">
        <v>50.953000000000003</v>
      </c>
    </row>
    <row r="235" spans="1:9" ht="25.5" x14ac:dyDescent="0.2">
      <c r="A235" s="41" t="s">
        <v>83</v>
      </c>
      <c r="B235" s="59"/>
      <c r="C235" s="56" t="s">
        <v>46</v>
      </c>
      <c r="D235" s="56" t="s">
        <v>36</v>
      </c>
      <c r="E235" s="67" t="s">
        <v>245</v>
      </c>
      <c r="F235" s="56" t="s">
        <v>84</v>
      </c>
      <c r="G235" s="45">
        <f>90+20+128.6+196.5+25-120-76.5-135.2</f>
        <v>128.40000000000003</v>
      </c>
      <c r="H235" s="45">
        <f>90+20+82+74.5+4</f>
        <v>270.5</v>
      </c>
      <c r="I235" s="45">
        <f>90+20+82+10+4</f>
        <v>206</v>
      </c>
    </row>
    <row r="236" spans="1:9" ht="38.25" x14ac:dyDescent="0.2">
      <c r="A236" s="54" t="s">
        <v>199</v>
      </c>
      <c r="B236" s="59"/>
      <c r="C236" s="56" t="s">
        <v>46</v>
      </c>
      <c r="D236" s="56" t="s">
        <v>36</v>
      </c>
      <c r="E236" s="42" t="s">
        <v>121</v>
      </c>
      <c r="F236" s="62"/>
      <c r="G236" s="45">
        <f>G237+G242</f>
        <v>586.90300000000002</v>
      </c>
      <c r="H236" s="45">
        <f>H237+H242</f>
        <v>782.90300000000002</v>
      </c>
      <c r="I236" s="45">
        <f>I237+I242</f>
        <v>782.90300000000002</v>
      </c>
    </row>
    <row r="237" spans="1:9" x14ac:dyDescent="0.2">
      <c r="A237" s="54" t="s">
        <v>122</v>
      </c>
      <c r="B237" s="59"/>
      <c r="C237" s="56" t="s">
        <v>46</v>
      </c>
      <c r="D237" s="56" t="s">
        <v>36</v>
      </c>
      <c r="E237" s="42" t="s">
        <v>123</v>
      </c>
      <c r="F237" s="62"/>
      <c r="G237" s="45">
        <f>G238</f>
        <v>586.90300000000002</v>
      </c>
      <c r="H237" s="45">
        <f>H238</f>
        <v>782.90300000000002</v>
      </c>
      <c r="I237" s="45">
        <f>I238</f>
        <v>782.90300000000002</v>
      </c>
    </row>
    <row r="238" spans="1:9" x14ac:dyDescent="0.2">
      <c r="A238" s="54" t="s">
        <v>76</v>
      </c>
      <c r="B238" s="59"/>
      <c r="C238" s="56" t="s">
        <v>46</v>
      </c>
      <c r="D238" s="56" t="s">
        <v>36</v>
      </c>
      <c r="E238" s="42" t="s">
        <v>124</v>
      </c>
      <c r="F238" s="62"/>
      <c r="G238" s="45">
        <f>SUM(G239:G241)</f>
        <v>586.90300000000002</v>
      </c>
      <c r="H238" s="45">
        <f>SUM(H239:H241)</f>
        <v>782.90300000000002</v>
      </c>
      <c r="I238" s="45">
        <f>SUM(I239:I241)</f>
        <v>782.90300000000002</v>
      </c>
    </row>
    <row r="239" spans="1:9" x14ac:dyDescent="0.2">
      <c r="A239" s="63" t="s">
        <v>144</v>
      </c>
      <c r="B239" s="59"/>
      <c r="C239" s="56" t="s">
        <v>46</v>
      </c>
      <c r="D239" s="56" t="s">
        <v>36</v>
      </c>
      <c r="E239" s="42" t="s">
        <v>124</v>
      </c>
      <c r="F239" s="42">
        <v>110</v>
      </c>
      <c r="G239" s="45">
        <f>285.855+86.328+7-G240-7</f>
        <v>296.86099999999999</v>
      </c>
      <c r="H239" s="45">
        <f>285.855+86.328+7-H240</f>
        <v>303.86099999999999</v>
      </c>
      <c r="I239" s="45">
        <f>285.855+86.328+7-I240</f>
        <v>303.86099999999999</v>
      </c>
    </row>
    <row r="240" spans="1:9" x14ac:dyDescent="0.2">
      <c r="A240" s="63" t="s">
        <v>144</v>
      </c>
      <c r="B240" s="59"/>
      <c r="C240" s="56" t="s">
        <v>46</v>
      </c>
      <c r="D240" s="56" t="s">
        <v>36</v>
      </c>
      <c r="E240" s="42" t="s">
        <v>258</v>
      </c>
      <c r="F240" s="42">
        <v>110</v>
      </c>
      <c r="G240" s="45">
        <f>75.322</f>
        <v>75.322000000000003</v>
      </c>
      <c r="H240" s="45">
        <v>75.322000000000003</v>
      </c>
      <c r="I240" s="45">
        <v>75.322000000000003</v>
      </c>
    </row>
    <row r="241" spans="1:9" ht="25.5" x14ac:dyDescent="0.2">
      <c r="A241" s="41" t="s">
        <v>83</v>
      </c>
      <c r="B241" s="59"/>
      <c r="C241" s="43" t="s">
        <v>46</v>
      </c>
      <c r="D241" s="56" t="s">
        <v>36</v>
      </c>
      <c r="E241" s="42" t="s">
        <v>124</v>
      </c>
      <c r="F241" s="56" t="s">
        <v>84</v>
      </c>
      <c r="G241" s="45">
        <f>7.9+46.1+2+76.72+95+32+22+152+14-233</f>
        <v>214.72000000000003</v>
      </c>
      <c r="H241" s="45">
        <f>7.9+46.1+2+76.72+83+32+142+14</f>
        <v>403.72</v>
      </c>
      <c r="I241" s="45">
        <f>7.9+46.1+2+76.72+83+32+142+14</f>
        <v>403.72</v>
      </c>
    </row>
    <row r="242" spans="1:9" ht="25.5" hidden="1" x14ac:dyDescent="0.2">
      <c r="A242" s="41" t="s">
        <v>212</v>
      </c>
      <c r="B242" s="59"/>
      <c r="C242" s="56" t="s">
        <v>46</v>
      </c>
      <c r="D242" s="56" t="s">
        <v>36</v>
      </c>
      <c r="E242" s="67" t="s">
        <v>213</v>
      </c>
      <c r="F242" s="62"/>
      <c r="G242" s="45"/>
      <c r="H242" s="45"/>
      <c r="I242" s="45"/>
    </row>
    <row r="243" spans="1:9" hidden="1" x14ac:dyDescent="0.2">
      <c r="A243" s="63" t="s">
        <v>144</v>
      </c>
      <c r="B243" s="59"/>
      <c r="C243" s="56" t="s">
        <v>46</v>
      </c>
      <c r="D243" s="56" t="s">
        <v>36</v>
      </c>
      <c r="E243" s="67" t="s">
        <v>213</v>
      </c>
      <c r="F243" s="42">
        <v>110</v>
      </c>
      <c r="G243" s="45"/>
      <c r="H243" s="45"/>
      <c r="I243" s="45"/>
    </row>
    <row r="244" spans="1:9" hidden="1" x14ac:dyDescent="0.2">
      <c r="A244" s="54" t="s">
        <v>61</v>
      </c>
      <c r="B244" s="57"/>
      <c r="C244" s="43" t="s">
        <v>46</v>
      </c>
      <c r="D244" s="56" t="s">
        <v>36</v>
      </c>
      <c r="E244" s="55" t="s">
        <v>93</v>
      </c>
      <c r="F244" s="56"/>
      <c r="G244" s="45">
        <f>SUM(G246)</f>
        <v>0</v>
      </c>
      <c r="H244" s="45">
        <f>SUM(H246)</f>
        <v>0</v>
      </c>
      <c r="I244" s="45">
        <f>SUM(I246)</f>
        <v>0</v>
      </c>
    </row>
    <row r="245" spans="1:9" hidden="1" x14ac:dyDescent="0.2">
      <c r="A245" s="54" t="s">
        <v>61</v>
      </c>
      <c r="B245" s="57"/>
      <c r="C245" s="43" t="s">
        <v>46</v>
      </c>
      <c r="D245" s="56" t="s">
        <v>36</v>
      </c>
      <c r="E245" s="55" t="s">
        <v>94</v>
      </c>
      <c r="F245" s="56"/>
      <c r="G245" s="45">
        <f t="shared" ref="G245:I246" si="15">G246</f>
        <v>0</v>
      </c>
      <c r="H245" s="45">
        <f t="shared" si="15"/>
        <v>0</v>
      </c>
      <c r="I245" s="45">
        <f t="shared" si="15"/>
        <v>0</v>
      </c>
    </row>
    <row r="246" spans="1:9" hidden="1" x14ac:dyDescent="0.2">
      <c r="A246" s="54" t="s">
        <v>169</v>
      </c>
      <c r="B246" s="57"/>
      <c r="C246" s="43" t="s">
        <v>46</v>
      </c>
      <c r="D246" s="56" t="s">
        <v>36</v>
      </c>
      <c r="E246" s="42" t="s">
        <v>111</v>
      </c>
      <c r="F246" s="56"/>
      <c r="G246" s="45">
        <f t="shared" si="15"/>
        <v>0</v>
      </c>
      <c r="H246" s="45">
        <f t="shared" si="15"/>
        <v>0</v>
      </c>
      <c r="I246" s="45">
        <f t="shared" si="15"/>
        <v>0</v>
      </c>
    </row>
    <row r="247" spans="1:9" ht="51" hidden="1" x14ac:dyDescent="0.2">
      <c r="A247" s="54" t="s">
        <v>204</v>
      </c>
      <c r="B247" s="57"/>
      <c r="C247" s="43" t="s">
        <v>46</v>
      </c>
      <c r="D247" s="56" t="s">
        <v>36</v>
      </c>
      <c r="E247" s="42" t="s">
        <v>203</v>
      </c>
      <c r="F247" s="56"/>
      <c r="G247" s="45"/>
      <c r="H247" s="45"/>
      <c r="I247" s="45"/>
    </row>
    <row r="248" spans="1:9" hidden="1" x14ac:dyDescent="0.2">
      <c r="A248" s="63" t="s">
        <v>144</v>
      </c>
      <c r="B248" s="59"/>
      <c r="C248" s="43" t="s">
        <v>46</v>
      </c>
      <c r="D248" s="56" t="s">
        <v>36</v>
      </c>
      <c r="E248" s="42" t="s">
        <v>203</v>
      </c>
      <c r="F248" s="42">
        <v>110</v>
      </c>
      <c r="G248" s="45"/>
      <c r="H248" s="45"/>
      <c r="I248" s="45"/>
    </row>
    <row r="249" spans="1:9" x14ac:dyDescent="0.2">
      <c r="A249" s="116" t="s">
        <v>61</v>
      </c>
      <c r="B249" s="59"/>
      <c r="C249" s="43" t="s">
        <v>46</v>
      </c>
      <c r="D249" s="56" t="s">
        <v>36</v>
      </c>
      <c r="E249" s="55" t="s">
        <v>93</v>
      </c>
      <c r="F249" s="43"/>
      <c r="G249" s="114">
        <f>SUM(G251)</f>
        <v>752.9</v>
      </c>
      <c r="H249" s="45"/>
      <c r="I249" s="45"/>
    </row>
    <row r="250" spans="1:9" x14ac:dyDescent="0.2">
      <c r="A250" s="116" t="s">
        <v>61</v>
      </c>
      <c r="B250" s="59"/>
      <c r="C250" s="43" t="s">
        <v>46</v>
      </c>
      <c r="D250" s="56" t="s">
        <v>36</v>
      </c>
      <c r="E250" s="55" t="s">
        <v>94</v>
      </c>
      <c r="F250" s="43"/>
      <c r="G250" s="114">
        <f>G251</f>
        <v>752.9</v>
      </c>
      <c r="H250" s="45"/>
      <c r="I250" s="45"/>
    </row>
    <row r="251" spans="1:9" x14ac:dyDescent="0.2">
      <c r="A251" s="116" t="s">
        <v>169</v>
      </c>
      <c r="B251" s="59"/>
      <c r="C251" s="43" t="s">
        <v>46</v>
      </c>
      <c r="D251" s="56" t="s">
        <v>36</v>
      </c>
      <c r="E251" s="42" t="s">
        <v>111</v>
      </c>
      <c r="F251" s="43"/>
      <c r="G251" s="114">
        <f>G252+G254+G257</f>
        <v>752.9</v>
      </c>
      <c r="H251" s="45"/>
      <c r="I251" s="45"/>
    </row>
    <row r="252" spans="1:9" ht="48" x14ac:dyDescent="0.2">
      <c r="A252" s="116" t="s">
        <v>204</v>
      </c>
      <c r="B252" s="59"/>
      <c r="C252" s="43" t="s">
        <v>46</v>
      </c>
      <c r="D252" s="56" t="s">
        <v>36</v>
      </c>
      <c r="E252" s="42" t="s">
        <v>318</v>
      </c>
      <c r="F252" s="43"/>
      <c r="G252" s="114">
        <f>G253</f>
        <v>658.5</v>
      </c>
      <c r="H252" s="45"/>
      <c r="I252" s="45"/>
    </row>
    <row r="253" spans="1:9" x14ac:dyDescent="0.2">
      <c r="A253" s="117" t="s">
        <v>144</v>
      </c>
      <c r="B253" s="59"/>
      <c r="C253" s="43" t="s">
        <v>46</v>
      </c>
      <c r="D253" s="56" t="s">
        <v>36</v>
      </c>
      <c r="E253" s="42" t="s">
        <v>318</v>
      </c>
      <c r="F253" s="42">
        <v>110</v>
      </c>
      <c r="G253" s="114">
        <f>431.1+227.4</f>
        <v>658.5</v>
      </c>
      <c r="H253" s="45"/>
      <c r="I253" s="45"/>
    </row>
    <row r="254" spans="1:9" hidden="1" x14ac:dyDescent="0.2">
      <c r="A254" s="63"/>
      <c r="B254" s="59"/>
      <c r="C254" s="43"/>
      <c r="D254" s="56"/>
      <c r="E254" s="42"/>
      <c r="F254" s="42"/>
      <c r="G254" s="45"/>
      <c r="H254" s="45"/>
      <c r="I254" s="45"/>
    </row>
    <row r="255" spans="1:9" hidden="1" x14ac:dyDescent="0.2">
      <c r="A255" s="63"/>
      <c r="B255" s="59"/>
      <c r="C255" s="43"/>
      <c r="D255" s="56"/>
      <c r="E255" s="42"/>
      <c r="F255" s="42"/>
      <c r="G255" s="45"/>
      <c r="H255" s="45"/>
      <c r="I255" s="45"/>
    </row>
    <row r="256" spans="1:9" hidden="1" x14ac:dyDescent="0.2">
      <c r="A256" s="63"/>
      <c r="B256" s="59"/>
      <c r="C256" s="43"/>
      <c r="D256" s="56"/>
      <c r="E256" s="42"/>
      <c r="F256" s="42"/>
      <c r="G256" s="45"/>
      <c r="H256" s="45"/>
      <c r="I256" s="45"/>
    </row>
    <row r="257" spans="1:9" ht="51" x14ac:dyDescent="0.2">
      <c r="A257" s="63" t="s">
        <v>291</v>
      </c>
      <c r="B257" s="59"/>
      <c r="C257" s="43" t="s">
        <v>46</v>
      </c>
      <c r="D257" s="56" t="s">
        <v>36</v>
      </c>
      <c r="E257" s="42" t="s">
        <v>290</v>
      </c>
      <c r="F257" s="42"/>
      <c r="G257" s="45">
        <f>G258</f>
        <v>94.4</v>
      </c>
      <c r="H257" s="45"/>
      <c r="I257" s="45"/>
    </row>
    <row r="258" spans="1:9" x14ac:dyDescent="0.2">
      <c r="A258" s="117" t="s">
        <v>144</v>
      </c>
      <c r="B258" s="59"/>
      <c r="C258" s="43" t="s">
        <v>46</v>
      </c>
      <c r="D258" s="56" t="s">
        <v>36</v>
      </c>
      <c r="E258" s="42" t="s">
        <v>290</v>
      </c>
      <c r="F258" s="42">
        <v>110</v>
      </c>
      <c r="G258" s="45">
        <f>72.504+21.896</f>
        <v>94.4</v>
      </c>
      <c r="H258" s="45"/>
      <c r="I258" s="45"/>
    </row>
    <row r="259" spans="1:9" ht="25.5" x14ac:dyDescent="0.2">
      <c r="A259" s="54" t="s">
        <v>125</v>
      </c>
      <c r="B259" s="57"/>
      <c r="C259" s="56" t="s">
        <v>46</v>
      </c>
      <c r="D259" s="71" t="s">
        <v>39</v>
      </c>
      <c r="E259" s="62"/>
      <c r="F259" s="62" t="s">
        <v>16</v>
      </c>
      <c r="G259" s="45">
        <f>G261+G265+G270</f>
        <v>713.69999999999982</v>
      </c>
      <c r="H259" s="45">
        <f>H261+H265+H270</f>
        <v>1107.8</v>
      </c>
      <c r="I259" s="45">
        <f>I261+I265+I270</f>
        <v>1108.309</v>
      </c>
    </row>
    <row r="260" spans="1:9" ht="25.5" x14ac:dyDescent="0.2">
      <c r="A260" s="54" t="s">
        <v>120</v>
      </c>
      <c r="B260" s="59"/>
      <c r="C260" s="56" t="s">
        <v>46</v>
      </c>
      <c r="D260" s="71" t="s">
        <v>39</v>
      </c>
      <c r="E260" s="42" t="s">
        <v>116</v>
      </c>
      <c r="F260" s="62"/>
      <c r="G260" s="45">
        <f>G261</f>
        <v>0.79999999999999716</v>
      </c>
      <c r="H260" s="45">
        <f>H261</f>
        <v>55</v>
      </c>
      <c r="I260" s="45">
        <f>I261</f>
        <v>55</v>
      </c>
    </row>
    <row r="261" spans="1:9" ht="39" customHeight="1" x14ac:dyDescent="0.2">
      <c r="A261" s="60" t="s">
        <v>139</v>
      </c>
      <c r="B261" s="61"/>
      <c r="C261" s="56" t="s">
        <v>46</v>
      </c>
      <c r="D261" s="56" t="s">
        <v>39</v>
      </c>
      <c r="E261" s="42" t="s">
        <v>136</v>
      </c>
      <c r="F261" s="62" t="s">
        <v>16</v>
      </c>
      <c r="G261" s="45">
        <f>SUM(G262)</f>
        <v>0.79999999999999716</v>
      </c>
      <c r="H261" s="45">
        <f>SUM(H262)</f>
        <v>55</v>
      </c>
      <c r="I261" s="45">
        <f>SUM(I262)</f>
        <v>55</v>
      </c>
    </row>
    <row r="262" spans="1:9" ht="15" customHeight="1" x14ac:dyDescent="0.2">
      <c r="A262" s="60" t="s">
        <v>129</v>
      </c>
      <c r="B262" s="59"/>
      <c r="C262" s="56" t="s">
        <v>46</v>
      </c>
      <c r="D262" s="56" t="s">
        <v>39</v>
      </c>
      <c r="E262" s="42" t="s">
        <v>137</v>
      </c>
      <c r="F262" s="62" t="s">
        <v>16</v>
      </c>
      <c r="G262" s="45">
        <f>SUM(G264)</f>
        <v>0.79999999999999716</v>
      </c>
      <c r="H262" s="45">
        <f>SUM(H264)</f>
        <v>55</v>
      </c>
      <c r="I262" s="45">
        <f>SUM(I264)</f>
        <v>55</v>
      </c>
    </row>
    <row r="263" spans="1:9" ht="15.75" customHeight="1" x14ac:dyDescent="0.2">
      <c r="A263" s="54" t="s">
        <v>77</v>
      </c>
      <c r="B263" s="59"/>
      <c r="C263" s="56" t="s">
        <v>46</v>
      </c>
      <c r="D263" s="56" t="s">
        <v>39</v>
      </c>
      <c r="E263" s="42" t="s">
        <v>138</v>
      </c>
      <c r="F263" s="62"/>
      <c r="G263" s="45">
        <f>G264</f>
        <v>0.79999999999999716</v>
      </c>
      <c r="H263" s="45">
        <f>H264</f>
        <v>55</v>
      </c>
      <c r="I263" s="45">
        <f>I264</f>
        <v>55</v>
      </c>
    </row>
    <row r="264" spans="1:9" ht="27.75" customHeight="1" x14ac:dyDescent="0.2">
      <c r="A264" s="41" t="s">
        <v>83</v>
      </c>
      <c r="B264" s="59"/>
      <c r="C264" s="56" t="s">
        <v>46</v>
      </c>
      <c r="D264" s="56" t="s">
        <v>39</v>
      </c>
      <c r="E264" s="42" t="s">
        <v>138</v>
      </c>
      <c r="F264" s="56" t="s">
        <v>84</v>
      </c>
      <c r="G264" s="45">
        <f>115-60-37.2-17</f>
        <v>0.79999999999999716</v>
      </c>
      <c r="H264" s="45">
        <f>115-60</f>
        <v>55</v>
      </c>
      <c r="I264" s="45">
        <f>115-60</f>
        <v>55</v>
      </c>
    </row>
    <row r="265" spans="1:9" ht="54" customHeight="1" x14ac:dyDescent="0.2">
      <c r="A265" s="60" t="s">
        <v>200</v>
      </c>
      <c r="B265" s="61"/>
      <c r="C265" s="56" t="s">
        <v>46</v>
      </c>
      <c r="D265" s="56" t="s">
        <v>39</v>
      </c>
      <c r="E265" s="42" t="s">
        <v>126</v>
      </c>
      <c r="F265" s="62" t="s">
        <v>16</v>
      </c>
      <c r="G265" s="45">
        <f t="shared" ref="G265:I266" si="16">G266</f>
        <v>712.89999999999986</v>
      </c>
      <c r="H265" s="45">
        <f t="shared" si="16"/>
        <v>1052.8</v>
      </c>
      <c r="I265" s="45">
        <f t="shared" si="16"/>
        <v>1053.309</v>
      </c>
    </row>
    <row r="266" spans="1:9" x14ac:dyDescent="0.2">
      <c r="A266" s="54" t="s">
        <v>129</v>
      </c>
      <c r="B266" s="59"/>
      <c r="C266" s="56" t="s">
        <v>46</v>
      </c>
      <c r="D266" s="56" t="s">
        <v>39</v>
      </c>
      <c r="E266" s="42" t="s">
        <v>127</v>
      </c>
      <c r="F266" s="62" t="s">
        <v>16</v>
      </c>
      <c r="G266" s="45">
        <f t="shared" si="16"/>
        <v>712.89999999999986</v>
      </c>
      <c r="H266" s="45">
        <f t="shared" si="16"/>
        <v>1052.8</v>
      </c>
      <c r="I266" s="45">
        <f t="shared" si="16"/>
        <v>1053.309</v>
      </c>
    </row>
    <row r="267" spans="1:9" x14ac:dyDescent="0.2">
      <c r="A267" s="54" t="s">
        <v>77</v>
      </c>
      <c r="B267" s="59"/>
      <c r="C267" s="56" t="s">
        <v>46</v>
      </c>
      <c r="D267" s="56" t="s">
        <v>39</v>
      </c>
      <c r="E267" s="42" t="s">
        <v>128</v>
      </c>
      <c r="F267" s="62"/>
      <c r="G267" s="45">
        <f>G268+G269</f>
        <v>712.89999999999986</v>
      </c>
      <c r="H267" s="45">
        <f>H268+H269</f>
        <v>1052.8</v>
      </c>
      <c r="I267" s="45">
        <f>I268+I269</f>
        <v>1053.309</v>
      </c>
    </row>
    <row r="268" spans="1:9" ht="25.5" x14ac:dyDescent="0.2">
      <c r="A268" s="41" t="s">
        <v>83</v>
      </c>
      <c r="B268" s="59"/>
      <c r="C268" s="56" t="s">
        <v>46</v>
      </c>
      <c r="D268" s="56" t="s">
        <v>39</v>
      </c>
      <c r="E268" s="42" t="s">
        <v>128</v>
      </c>
      <c r="F268" s="56" t="s">
        <v>84</v>
      </c>
      <c r="G268" s="45">
        <f>889.3+60+59-39.2+165-150-227-14.5-4.7-25</f>
        <v>712.89999999999986</v>
      </c>
      <c r="H268" s="45">
        <f>989.8+60</f>
        <v>1049.8</v>
      </c>
      <c r="I268" s="45">
        <f>990.309+60</f>
        <v>1050.309</v>
      </c>
    </row>
    <row r="269" spans="1:9" x14ac:dyDescent="0.2">
      <c r="A269" s="60" t="s">
        <v>82</v>
      </c>
      <c r="B269" s="59"/>
      <c r="C269" s="56" t="s">
        <v>46</v>
      </c>
      <c r="D269" s="56" t="s">
        <v>39</v>
      </c>
      <c r="E269" s="42" t="s">
        <v>128</v>
      </c>
      <c r="F269" s="43" t="s">
        <v>216</v>
      </c>
      <c r="G269" s="45">
        <v>0</v>
      </c>
      <c r="H269" s="45">
        <v>3</v>
      </c>
      <c r="I269" s="45">
        <v>3</v>
      </c>
    </row>
    <row r="270" spans="1:9" hidden="1" x14ac:dyDescent="0.2">
      <c r="A270" s="54" t="s">
        <v>61</v>
      </c>
      <c r="B270" s="57"/>
      <c r="C270" s="43" t="s">
        <v>46</v>
      </c>
      <c r="D270" s="56" t="s">
        <v>36</v>
      </c>
      <c r="E270" s="55" t="s">
        <v>93</v>
      </c>
      <c r="F270" s="56"/>
      <c r="G270" s="45">
        <f t="shared" ref="G270:I273" si="17">G271</f>
        <v>0</v>
      </c>
      <c r="H270" s="45">
        <f t="shared" si="17"/>
        <v>0</v>
      </c>
      <c r="I270" s="45">
        <f t="shared" si="17"/>
        <v>0</v>
      </c>
    </row>
    <row r="271" spans="1:9" hidden="1" x14ac:dyDescent="0.2">
      <c r="A271" s="54" t="s">
        <v>61</v>
      </c>
      <c r="B271" s="57"/>
      <c r="C271" s="43" t="s">
        <v>46</v>
      </c>
      <c r="D271" s="56" t="s">
        <v>36</v>
      </c>
      <c r="E271" s="55" t="s">
        <v>94</v>
      </c>
      <c r="F271" s="56"/>
      <c r="G271" s="45">
        <f t="shared" si="17"/>
        <v>0</v>
      </c>
      <c r="H271" s="45">
        <f t="shared" si="17"/>
        <v>0</v>
      </c>
      <c r="I271" s="45">
        <f t="shared" si="17"/>
        <v>0</v>
      </c>
    </row>
    <row r="272" spans="1:9" hidden="1" x14ac:dyDescent="0.2">
      <c r="A272" s="54" t="s">
        <v>169</v>
      </c>
      <c r="B272" s="57"/>
      <c r="C272" s="43" t="s">
        <v>46</v>
      </c>
      <c r="D272" s="56" t="s">
        <v>36</v>
      </c>
      <c r="E272" s="42" t="s">
        <v>111</v>
      </c>
      <c r="F272" s="56"/>
      <c r="G272" s="45">
        <f t="shared" si="17"/>
        <v>0</v>
      </c>
      <c r="H272" s="45">
        <f t="shared" si="17"/>
        <v>0</v>
      </c>
      <c r="I272" s="45">
        <f t="shared" si="17"/>
        <v>0</v>
      </c>
    </row>
    <row r="273" spans="1:9" hidden="1" x14ac:dyDescent="0.2">
      <c r="A273" s="54" t="s">
        <v>77</v>
      </c>
      <c r="B273" s="59"/>
      <c r="C273" s="56" t="s">
        <v>46</v>
      </c>
      <c r="D273" s="56" t="s">
        <v>39</v>
      </c>
      <c r="E273" s="42" t="s">
        <v>220</v>
      </c>
      <c r="F273" s="62"/>
      <c r="G273" s="45">
        <f t="shared" si="17"/>
        <v>0</v>
      </c>
      <c r="H273" s="45">
        <f t="shared" si="17"/>
        <v>0</v>
      </c>
      <c r="I273" s="45">
        <f t="shared" si="17"/>
        <v>0</v>
      </c>
    </row>
    <row r="274" spans="1:9" ht="25.5" hidden="1" x14ac:dyDescent="0.2">
      <c r="A274" s="41" t="s">
        <v>83</v>
      </c>
      <c r="B274" s="59"/>
      <c r="C274" s="56" t="s">
        <v>46</v>
      </c>
      <c r="D274" s="56" t="s">
        <v>39</v>
      </c>
      <c r="E274" s="42" t="s">
        <v>220</v>
      </c>
      <c r="F274" s="56" t="s">
        <v>84</v>
      </c>
      <c r="G274" s="45"/>
      <c r="H274" s="45"/>
      <c r="I274" s="45"/>
    </row>
    <row r="275" spans="1:9" x14ac:dyDescent="0.2">
      <c r="A275" s="118" t="s">
        <v>28</v>
      </c>
      <c r="B275" s="50">
        <v>911</v>
      </c>
      <c r="C275" s="39" t="s">
        <v>47</v>
      </c>
      <c r="D275" s="39" t="s">
        <v>37</v>
      </c>
      <c r="E275" s="39"/>
      <c r="F275" s="39"/>
      <c r="G275" s="40">
        <f>G276+G282</f>
        <v>6895.4920000000002</v>
      </c>
      <c r="H275" s="40">
        <f t="shared" ref="H275:I278" si="18">H276</f>
        <v>1309.8</v>
      </c>
      <c r="I275" s="40">
        <f t="shared" si="18"/>
        <v>1309.8</v>
      </c>
    </row>
    <row r="276" spans="1:9" x14ac:dyDescent="0.2">
      <c r="A276" s="41" t="s">
        <v>25</v>
      </c>
      <c r="B276" s="85"/>
      <c r="C276" s="56" t="s">
        <v>47</v>
      </c>
      <c r="D276" s="56" t="s">
        <v>36</v>
      </c>
      <c r="E276" s="56"/>
      <c r="F276" s="56"/>
      <c r="G276" s="45">
        <f>G277</f>
        <v>1309.8</v>
      </c>
      <c r="H276" s="45">
        <f t="shared" si="18"/>
        <v>1309.8</v>
      </c>
      <c r="I276" s="45">
        <f t="shared" si="18"/>
        <v>1309.8</v>
      </c>
    </row>
    <row r="277" spans="1:9" x14ac:dyDescent="0.2">
      <c r="A277" s="54" t="s">
        <v>61</v>
      </c>
      <c r="B277" s="57"/>
      <c r="C277" s="56" t="s">
        <v>47</v>
      </c>
      <c r="D277" s="56" t="s">
        <v>36</v>
      </c>
      <c r="E277" s="55" t="s">
        <v>93</v>
      </c>
      <c r="F277" s="56"/>
      <c r="G277" s="45">
        <f>G278</f>
        <v>1309.8</v>
      </c>
      <c r="H277" s="45">
        <f t="shared" si="18"/>
        <v>1309.8</v>
      </c>
      <c r="I277" s="45">
        <f t="shared" si="18"/>
        <v>1309.8</v>
      </c>
    </row>
    <row r="278" spans="1:9" x14ac:dyDescent="0.2">
      <c r="A278" s="54" t="s">
        <v>169</v>
      </c>
      <c r="B278" s="57"/>
      <c r="C278" s="56" t="s">
        <v>47</v>
      </c>
      <c r="D278" s="56" t="s">
        <v>36</v>
      </c>
      <c r="E278" s="55" t="s">
        <v>94</v>
      </c>
      <c r="F278" s="56"/>
      <c r="G278" s="45">
        <f>G279</f>
        <v>1309.8</v>
      </c>
      <c r="H278" s="45">
        <f t="shared" si="18"/>
        <v>1309.8</v>
      </c>
      <c r="I278" s="45">
        <f t="shared" si="18"/>
        <v>1309.8</v>
      </c>
    </row>
    <row r="279" spans="1:9" x14ac:dyDescent="0.2">
      <c r="A279" s="54" t="s">
        <v>169</v>
      </c>
      <c r="B279" s="57"/>
      <c r="C279" s="56" t="s">
        <v>47</v>
      </c>
      <c r="D279" s="56" t="s">
        <v>36</v>
      </c>
      <c r="E279" s="42" t="s">
        <v>111</v>
      </c>
      <c r="F279" s="56"/>
      <c r="G279" s="45">
        <f>G280</f>
        <v>1309.8</v>
      </c>
      <c r="H279" s="45">
        <f>H280</f>
        <v>1309.8</v>
      </c>
      <c r="I279" s="45">
        <f>I280</f>
        <v>1309.8</v>
      </c>
    </row>
    <row r="280" spans="1:9" x14ac:dyDescent="0.2">
      <c r="A280" s="41" t="s">
        <v>29</v>
      </c>
      <c r="B280" s="57"/>
      <c r="C280" s="56" t="s">
        <v>47</v>
      </c>
      <c r="D280" s="56" t="s">
        <v>36</v>
      </c>
      <c r="E280" s="42" t="s">
        <v>135</v>
      </c>
      <c r="F280" s="56"/>
      <c r="G280" s="45">
        <f>G281</f>
        <v>1309.8</v>
      </c>
      <c r="H280" s="45">
        <f>H281</f>
        <v>1309.8</v>
      </c>
      <c r="I280" s="45">
        <f>I281</f>
        <v>1309.8</v>
      </c>
    </row>
    <row r="281" spans="1:9" x14ac:dyDescent="0.2">
      <c r="A281" s="41" t="s">
        <v>78</v>
      </c>
      <c r="B281" s="85"/>
      <c r="C281" s="56" t="s">
        <v>47</v>
      </c>
      <c r="D281" s="56" t="s">
        <v>36</v>
      </c>
      <c r="E281" s="42" t="s">
        <v>135</v>
      </c>
      <c r="F281" s="44" t="s">
        <v>79</v>
      </c>
      <c r="G281" s="45">
        <v>1309.8</v>
      </c>
      <c r="H281" s="45">
        <v>1309.8</v>
      </c>
      <c r="I281" s="45">
        <v>1309.8</v>
      </c>
    </row>
    <row r="282" spans="1:9" x14ac:dyDescent="0.2">
      <c r="A282" s="41" t="s">
        <v>277</v>
      </c>
      <c r="B282" s="85"/>
      <c r="C282" s="43" t="s">
        <v>47</v>
      </c>
      <c r="D282" s="43" t="s">
        <v>38</v>
      </c>
      <c r="E282" s="42"/>
      <c r="F282" s="44"/>
      <c r="G282" s="40">
        <f>G283</f>
        <v>5585.692</v>
      </c>
      <c r="H282" s="45"/>
      <c r="I282" s="45"/>
    </row>
    <row r="283" spans="1:9" ht="38.25" x14ac:dyDescent="0.2">
      <c r="A283" s="41" t="s">
        <v>278</v>
      </c>
      <c r="B283" s="85"/>
      <c r="C283" s="43" t="s">
        <v>47</v>
      </c>
      <c r="D283" s="43" t="s">
        <v>38</v>
      </c>
      <c r="E283" s="42" t="s">
        <v>279</v>
      </c>
      <c r="F283" s="44"/>
      <c r="G283" s="45">
        <f>G284</f>
        <v>5585.692</v>
      </c>
      <c r="H283" s="45"/>
      <c r="I283" s="45"/>
    </row>
    <row r="284" spans="1:9" x14ac:dyDescent="0.2">
      <c r="A284" s="41" t="s">
        <v>281</v>
      </c>
      <c r="B284" s="85"/>
      <c r="C284" s="43" t="s">
        <v>47</v>
      </c>
      <c r="D284" s="43" t="s">
        <v>38</v>
      </c>
      <c r="E284" s="42" t="s">
        <v>280</v>
      </c>
      <c r="F284" s="44"/>
      <c r="G284" s="45">
        <f>G285</f>
        <v>5585.692</v>
      </c>
      <c r="H284" s="45"/>
      <c r="I284" s="45"/>
    </row>
    <row r="285" spans="1:9" x14ac:dyDescent="0.2">
      <c r="A285" s="41" t="s">
        <v>281</v>
      </c>
      <c r="B285" s="85"/>
      <c r="C285" s="43" t="s">
        <v>47</v>
      </c>
      <c r="D285" s="43" t="s">
        <v>38</v>
      </c>
      <c r="E285" s="42" t="s">
        <v>282</v>
      </c>
      <c r="F285" s="44"/>
      <c r="G285" s="45">
        <f>G286+G289</f>
        <v>5585.692</v>
      </c>
      <c r="H285" s="45"/>
      <c r="I285" s="45"/>
    </row>
    <row r="286" spans="1:9" ht="38.25" x14ac:dyDescent="0.2">
      <c r="A286" s="41" t="s">
        <v>286</v>
      </c>
      <c r="B286" s="85"/>
      <c r="C286" s="43" t="s">
        <v>47</v>
      </c>
      <c r="D286" s="43" t="s">
        <v>38</v>
      </c>
      <c r="E286" s="42" t="s">
        <v>283</v>
      </c>
      <c r="F286" s="44"/>
      <c r="G286" s="45">
        <f>G287</f>
        <v>5528.9920000000002</v>
      </c>
      <c r="H286" s="45"/>
      <c r="I286" s="45"/>
    </row>
    <row r="287" spans="1:9" x14ac:dyDescent="0.2">
      <c r="A287" s="41" t="s">
        <v>285</v>
      </c>
      <c r="B287" s="85"/>
      <c r="C287" s="43" t="s">
        <v>47</v>
      </c>
      <c r="D287" s="43" t="s">
        <v>38</v>
      </c>
      <c r="E287" s="42" t="s">
        <v>283</v>
      </c>
      <c r="F287" s="43" t="s">
        <v>284</v>
      </c>
      <c r="G287" s="45">
        <v>5528.9920000000002</v>
      </c>
      <c r="H287" s="45"/>
      <c r="I287" s="45"/>
    </row>
    <row r="288" spans="1:9" ht="38.25" x14ac:dyDescent="0.2">
      <c r="A288" s="41" t="s">
        <v>300</v>
      </c>
      <c r="B288" s="85"/>
      <c r="C288" s="43" t="s">
        <v>47</v>
      </c>
      <c r="D288" s="43" t="s">
        <v>38</v>
      </c>
      <c r="E288" s="42" t="s">
        <v>299</v>
      </c>
      <c r="F288" s="43"/>
      <c r="G288" s="45">
        <f>G289</f>
        <v>56.7</v>
      </c>
      <c r="H288" s="45"/>
      <c r="I288" s="45"/>
    </row>
    <row r="289" spans="1:9" x14ac:dyDescent="0.2">
      <c r="A289" s="41" t="s">
        <v>285</v>
      </c>
      <c r="B289" s="85"/>
      <c r="C289" s="43" t="s">
        <v>47</v>
      </c>
      <c r="D289" s="43" t="s">
        <v>38</v>
      </c>
      <c r="E289" s="42" t="s">
        <v>299</v>
      </c>
      <c r="F289" s="43" t="s">
        <v>284</v>
      </c>
      <c r="G289" s="45">
        <v>56.7</v>
      </c>
      <c r="H289" s="45"/>
      <c r="I289" s="45"/>
    </row>
    <row r="290" spans="1:9" x14ac:dyDescent="0.2">
      <c r="A290" s="37" t="s">
        <v>10</v>
      </c>
      <c r="B290" s="50">
        <v>911</v>
      </c>
      <c r="C290" s="39" t="s">
        <v>40</v>
      </c>
      <c r="D290" s="39" t="s">
        <v>37</v>
      </c>
      <c r="E290" s="50"/>
      <c r="F290" s="50"/>
      <c r="G290" s="40">
        <f>G291</f>
        <v>105.61300000000001</v>
      </c>
      <c r="H290" s="40">
        <f>H291</f>
        <v>286.5</v>
      </c>
      <c r="I290" s="40">
        <f>I291</f>
        <v>1612.2</v>
      </c>
    </row>
    <row r="291" spans="1:9" x14ac:dyDescent="0.2">
      <c r="A291" s="41" t="s">
        <v>30</v>
      </c>
      <c r="B291" s="57"/>
      <c r="C291" s="73" t="s">
        <v>40</v>
      </c>
      <c r="D291" s="73" t="s">
        <v>45</v>
      </c>
      <c r="E291" s="72"/>
      <c r="F291" s="72"/>
      <c r="G291" s="76">
        <f>G293+G297+G304</f>
        <v>105.61300000000001</v>
      </c>
      <c r="H291" s="76">
        <f>H293+H297</f>
        <v>286.5</v>
      </c>
      <c r="I291" s="76">
        <f>I293+I297</f>
        <v>1612.2</v>
      </c>
    </row>
    <row r="292" spans="1:9" ht="25.5" x14ac:dyDescent="0.2">
      <c r="A292" s="54" t="s">
        <v>120</v>
      </c>
      <c r="B292" s="57"/>
      <c r="C292" s="73" t="s">
        <v>40</v>
      </c>
      <c r="D292" s="73" t="s">
        <v>45</v>
      </c>
      <c r="E292" s="42" t="s">
        <v>170</v>
      </c>
      <c r="F292" s="72"/>
      <c r="G292" s="76">
        <f t="shared" ref="G292:I293" si="19">G295</f>
        <v>4.7000000000000028</v>
      </c>
      <c r="H292" s="76">
        <f t="shared" si="19"/>
        <v>192</v>
      </c>
      <c r="I292" s="76">
        <f t="shared" si="19"/>
        <v>192</v>
      </c>
    </row>
    <row r="293" spans="1:9" ht="51" x14ac:dyDescent="0.2">
      <c r="A293" s="60" t="s">
        <v>130</v>
      </c>
      <c r="B293" s="59"/>
      <c r="C293" s="73" t="s">
        <v>40</v>
      </c>
      <c r="D293" s="73" t="s">
        <v>45</v>
      </c>
      <c r="E293" s="42" t="s">
        <v>131</v>
      </c>
      <c r="F293" s="73"/>
      <c r="G293" s="76">
        <f t="shared" si="19"/>
        <v>4.7000000000000028</v>
      </c>
      <c r="H293" s="76">
        <f t="shared" si="19"/>
        <v>192</v>
      </c>
      <c r="I293" s="76">
        <f t="shared" si="19"/>
        <v>192</v>
      </c>
    </row>
    <row r="294" spans="1:9" ht="25.5" x14ac:dyDescent="0.2">
      <c r="A294" s="54" t="s">
        <v>134</v>
      </c>
      <c r="B294" s="59"/>
      <c r="C294" s="73" t="s">
        <v>40</v>
      </c>
      <c r="D294" s="73" t="s">
        <v>45</v>
      </c>
      <c r="E294" s="42" t="s">
        <v>132</v>
      </c>
      <c r="F294" s="73"/>
      <c r="G294" s="76">
        <f t="shared" ref="G294:I295" si="20">G295</f>
        <v>4.7000000000000028</v>
      </c>
      <c r="H294" s="76">
        <f t="shared" si="20"/>
        <v>192</v>
      </c>
      <c r="I294" s="76">
        <f t="shared" si="20"/>
        <v>192</v>
      </c>
    </row>
    <row r="295" spans="1:9" x14ac:dyDescent="0.2">
      <c r="A295" s="41" t="s">
        <v>11</v>
      </c>
      <c r="B295" s="59"/>
      <c r="C295" s="73" t="s">
        <v>40</v>
      </c>
      <c r="D295" s="73" t="s">
        <v>45</v>
      </c>
      <c r="E295" s="42" t="s">
        <v>133</v>
      </c>
      <c r="F295" s="73"/>
      <c r="G295" s="76">
        <f t="shared" si="20"/>
        <v>4.7000000000000028</v>
      </c>
      <c r="H295" s="76">
        <f t="shared" si="20"/>
        <v>192</v>
      </c>
      <c r="I295" s="76">
        <f t="shared" si="20"/>
        <v>192</v>
      </c>
    </row>
    <row r="296" spans="1:9" ht="25.5" x14ac:dyDescent="0.2">
      <c r="A296" s="41" t="s">
        <v>83</v>
      </c>
      <c r="B296" s="75"/>
      <c r="C296" s="73" t="s">
        <v>40</v>
      </c>
      <c r="D296" s="73" t="s">
        <v>45</v>
      </c>
      <c r="E296" s="42" t="s">
        <v>133</v>
      </c>
      <c r="F296" s="56" t="s">
        <v>84</v>
      </c>
      <c r="G296" s="45">
        <f>10+26+26+100-70-87.3</f>
        <v>4.7000000000000028</v>
      </c>
      <c r="H296" s="45">
        <f>10+26+26+130</f>
        <v>192</v>
      </c>
      <c r="I296" s="45">
        <f>10+26+26+130</f>
        <v>192</v>
      </c>
    </row>
    <row r="297" spans="1:9" x14ac:dyDescent="0.2">
      <c r="A297" s="54" t="s">
        <v>61</v>
      </c>
      <c r="B297" s="75"/>
      <c r="C297" s="73" t="s">
        <v>40</v>
      </c>
      <c r="D297" s="73" t="s">
        <v>45</v>
      </c>
      <c r="E297" s="55" t="s">
        <v>93</v>
      </c>
      <c r="F297" s="56"/>
      <c r="G297" s="45">
        <f t="shared" ref="G297:I300" si="21">G298</f>
        <v>4.3000000000006366E-2</v>
      </c>
      <c r="H297" s="45">
        <f t="shared" si="21"/>
        <v>94.5</v>
      </c>
      <c r="I297" s="45">
        <f t="shared" si="21"/>
        <v>1420.2</v>
      </c>
    </row>
    <row r="298" spans="1:9" x14ac:dyDescent="0.2">
      <c r="A298" s="54" t="s">
        <v>169</v>
      </c>
      <c r="B298" s="75"/>
      <c r="C298" s="73" t="s">
        <v>40</v>
      </c>
      <c r="D298" s="73" t="s">
        <v>45</v>
      </c>
      <c r="E298" s="55" t="s">
        <v>94</v>
      </c>
      <c r="F298" s="56"/>
      <c r="G298" s="45">
        <f t="shared" si="21"/>
        <v>4.3000000000006366E-2</v>
      </c>
      <c r="H298" s="45">
        <f t="shared" si="21"/>
        <v>94.5</v>
      </c>
      <c r="I298" s="45">
        <f t="shared" si="21"/>
        <v>1420.2</v>
      </c>
    </row>
    <row r="299" spans="1:9" x14ac:dyDescent="0.2">
      <c r="A299" s="54" t="s">
        <v>169</v>
      </c>
      <c r="B299" s="75"/>
      <c r="C299" s="73" t="s">
        <v>40</v>
      </c>
      <c r="D299" s="73" t="s">
        <v>45</v>
      </c>
      <c r="E299" s="42" t="s">
        <v>111</v>
      </c>
      <c r="F299" s="56"/>
      <c r="G299" s="45">
        <f>G300+G302</f>
        <v>4.3000000000006366E-2</v>
      </c>
      <c r="H299" s="45">
        <f t="shared" si="21"/>
        <v>94.5</v>
      </c>
      <c r="I299" s="45">
        <f t="shared" si="21"/>
        <v>1420.2</v>
      </c>
    </row>
    <row r="300" spans="1:9" x14ac:dyDescent="0.2">
      <c r="A300" s="41" t="s">
        <v>11</v>
      </c>
      <c r="B300" s="75"/>
      <c r="C300" s="73" t="s">
        <v>40</v>
      </c>
      <c r="D300" s="73" t="s">
        <v>45</v>
      </c>
      <c r="E300" s="42" t="s">
        <v>219</v>
      </c>
      <c r="F300" s="56"/>
      <c r="G300" s="45">
        <f t="shared" si="21"/>
        <v>4.3000000000006366E-2</v>
      </c>
      <c r="H300" s="45">
        <f t="shared" si="21"/>
        <v>94.5</v>
      </c>
      <c r="I300" s="45">
        <f t="shared" si="21"/>
        <v>1420.2</v>
      </c>
    </row>
    <row r="301" spans="1:9" ht="25.5" x14ac:dyDescent="0.2">
      <c r="A301" s="41" t="s">
        <v>83</v>
      </c>
      <c r="B301" s="75"/>
      <c r="C301" s="73" t="s">
        <v>40</v>
      </c>
      <c r="D301" s="73" t="s">
        <v>45</v>
      </c>
      <c r="E301" s="42" t="s">
        <v>219</v>
      </c>
      <c r="F301" s="43" t="s">
        <v>84</v>
      </c>
      <c r="G301" s="45">
        <f>1000-428-456.457-115.5</f>
        <v>4.3000000000006366E-2</v>
      </c>
      <c r="H301" s="45">
        <f>97.5-3</f>
        <v>94.5</v>
      </c>
      <c r="I301" s="45">
        <f>1423.2-3</f>
        <v>1420.2</v>
      </c>
    </row>
    <row r="302" spans="1:9" ht="25.5" x14ac:dyDescent="0.2">
      <c r="A302" s="53" t="s">
        <v>11</v>
      </c>
      <c r="B302" s="75"/>
      <c r="C302" s="73" t="s">
        <v>40</v>
      </c>
      <c r="D302" s="73" t="s">
        <v>45</v>
      </c>
      <c r="E302" s="42" t="s">
        <v>270</v>
      </c>
      <c r="F302" s="43"/>
      <c r="G302" s="114">
        <f>G303</f>
        <v>0</v>
      </c>
      <c r="H302" s="45">
        <v>0</v>
      </c>
      <c r="I302" s="45">
        <v>0</v>
      </c>
    </row>
    <row r="303" spans="1:9" ht="25.5" x14ac:dyDescent="0.2">
      <c r="A303" s="53" t="s">
        <v>11</v>
      </c>
      <c r="B303" s="75"/>
      <c r="C303" s="73" t="s">
        <v>40</v>
      </c>
      <c r="D303" s="73" t="s">
        <v>45</v>
      </c>
      <c r="E303" s="42" t="s">
        <v>270</v>
      </c>
      <c r="F303" s="71" t="s">
        <v>84</v>
      </c>
      <c r="G303" s="114">
        <v>0</v>
      </c>
      <c r="H303" s="45">
        <v>0</v>
      </c>
      <c r="I303" s="45">
        <v>0</v>
      </c>
    </row>
    <row r="304" spans="1:9" ht="39" x14ac:dyDescent="0.25">
      <c r="A304" s="41" t="s">
        <v>292</v>
      </c>
      <c r="B304" s="126"/>
      <c r="C304" s="73" t="s">
        <v>40</v>
      </c>
      <c r="D304" s="73" t="s">
        <v>45</v>
      </c>
      <c r="E304" s="64" t="s">
        <v>293</v>
      </c>
      <c r="F304" s="44"/>
      <c r="G304" s="76">
        <f>G305</f>
        <v>100.87</v>
      </c>
      <c r="H304" s="45"/>
      <c r="I304" s="45"/>
    </row>
    <row r="305" spans="1:9" ht="39" x14ac:dyDescent="0.25">
      <c r="A305" s="41" t="s">
        <v>292</v>
      </c>
      <c r="B305" s="126"/>
      <c r="C305" s="73" t="s">
        <v>40</v>
      </c>
      <c r="D305" s="73" t="s">
        <v>45</v>
      </c>
      <c r="E305" s="64" t="s">
        <v>294</v>
      </c>
      <c r="F305" s="44"/>
      <c r="G305" s="76">
        <f>G306</f>
        <v>100.87</v>
      </c>
      <c r="H305" s="45"/>
      <c r="I305" s="45"/>
    </row>
    <row r="306" spans="1:9" ht="26.25" x14ac:dyDescent="0.25">
      <c r="A306" s="60" t="s">
        <v>315</v>
      </c>
      <c r="B306" s="126"/>
      <c r="C306" s="73" t="s">
        <v>40</v>
      </c>
      <c r="D306" s="73" t="s">
        <v>45</v>
      </c>
      <c r="E306" s="64" t="s">
        <v>311</v>
      </c>
      <c r="F306" s="44"/>
      <c r="G306" s="76">
        <f>G308+G310</f>
        <v>100.87</v>
      </c>
      <c r="H306" s="45"/>
      <c r="I306" s="45"/>
    </row>
    <row r="307" spans="1:9" ht="64.5" x14ac:dyDescent="0.25">
      <c r="A307" s="41" t="s">
        <v>302</v>
      </c>
      <c r="B307" s="126"/>
      <c r="C307" s="73" t="s">
        <v>40</v>
      </c>
      <c r="D307" s="73" t="s">
        <v>45</v>
      </c>
      <c r="E307" s="64" t="s">
        <v>310</v>
      </c>
      <c r="F307" s="44"/>
      <c r="G307" s="76">
        <f>G308</f>
        <v>91.7</v>
      </c>
      <c r="H307" s="45"/>
      <c r="I307" s="45"/>
    </row>
    <row r="308" spans="1:9" ht="26.25" x14ac:dyDescent="0.25">
      <c r="A308" s="41" t="s">
        <v>83</v>
      </c>
      <c r="B308" s="126"/>
      <c r="C308" s="73" t="s">
        <v>40</v>
      </c>
      <c r="D308" s="73" t="s">
        <v>45</v>
      </c>
      <c r="E308" s="64" t="s">
        <v>310</v>
      </c>
      <c r="F308" s="43" t="s">
        <v>84</v>
      </c>
      <c r="G308" s="76">
        <v>91.7</v>
      </c>
      <c r="H308" s="45"/>
      <c r="I308" s="45"/>
    </row>
    <row r="309" spans="1:9" ht="64.5" x14ac:dyDescent="0.25">
      <c r="A309" s="41" t="s">
        <v>303</v>
      </c>
      <c r="B309" s="126"/>
      <c r="C309" s="73" t="s">
        <v>40</v>
      </c>
      <c r="D309" s="73" t="s">
        <v>45</v>
      </c>
      <c r="E309" s="64" t="s">
        <v>314</v>
      </c>
      <c r="F309" s="44"/>
      <c r="G309" s="76">
        <f>G310</f>
        <v>9.17</v>
      </c>
      <c r="H309" s="45"/>
      <c r="I309" s="45"/>
    </row>
    <row r="310" spans="1:9" ht="26.25" x14ac:dyDescent="0.25">
      <c r="A310" s="41" t="s">
        <v>83</v>
      </c>
      <c r="B310" s="126"/>
      <c r="C310" s="73" t="s">
        <v>40</v>
      </c>
      <c r="D310" s="73" t="s">
        <v>45</v>
      </c>
      <c r="E310" s="64" t="s">
        <v>314</v>
      </c>
      <c r="F310" s="43" t="s">
        <v>84</v>
      </c>
      <c r="G310" s="76">
        <v>9.17</v>
      </c>
      <c r="H310" s="45"/>
      <c r="I310" s="45"/>
    </row>
    <row r="311" spans="1:9" x14ac:dyDescent="0.2">
      <c r="A311" s="37" t="s">
        <v>271</v>
      </c>
      <c r="B311" s="50">
        <v>911</v>
      </c>
      <c r="C311" s="39" t="s">
        <v>44</v>
      </c>
      <c r="D311" s="39" t="s">
        <v>37</v>
      </c>
      <c r="E311" s="50"/>
      <c r="F311" s="50"/>
      <c r="G311" s="40">
        <f>G312</f>
        <v>100</v>
      </c>
      <c r="H311" s="40">
        <f>H312</f>
        <v>0</v>
      </c>
      <c r="I311" s="40">
        <f>I312</f>
        <v>0</v>
      </c>
    </row>
    <row r="312" spans="1:9" x14ac:dyDescent="0.2">
      <c r="A312" s="41" t="s">
        <v>272</v>
      </c>
      <c r="B312" s="57"/>
      <c r="C312" s="43" t="s">
        <v>44</v>
      </c>
      <c r="D312" s="119" t="s">
        <v>42</v>
      </c>
      <c r="E312" s="72"/>
      <c r="F312" s="72"/>
      <c r="G312" s="76">
        <f>G314+G318</f>
        <v>100</v>
      </c>
      <c r="H312" s="76">
        <f>H314+H318</f>
        <v>0</v>
      </c>
      <c r="I312" s="76">
        <f>I314+I318</f>
        <v>0</v>
      </c>
    </row>
    <row r="313" spans="1:9" x14ac:dyDescent="0.2">
      <c r="A313" s="54" t="s">
        <v>61</v>
      </c>
      <c r="B313" s="75"/>
      <c r="C313" s="43" t="s">
        <v>44</v>
      </c>
      <c r="D313" s="119" t="s">
        <v>42</v>
      </c>
      <c r="E313" s="55" t="s">
        <v>93</v>
      </c>
      <c r="F313" s="56"/>
      <c r="G313" s="45">
        <f t="shared" ref="G313:I316" si="22">G314</f>
        <v>100</v>
      </c>
      <c r="H313" s="45">
        <f t="shared" si="22"/>
        <v>0</v>
      </c>
      <c r="I313" s="45">
        <f t="shared" si="22"/>
        <v>0</v>
      </c>
    </row>
    <row r="314" spans="1:9" x14ac:dyDescent="0.2">
      <c r="A314" s="54" t="s">
        <v>169</v>
      </c>
      <c r="B314" s="75"/>
      <c r="C314" s="43" t="s">
        <v>44</v>
      </c>
      <c r="D314" s="119" t="s">
        <v>42</v>
      </c>
      <c r="E314" s="55" t="s">
        <v>94</v>
      </c>
      <c r="F314" s="56"/>
      <c r="G314" s="45">
        <f t="shared" si="22"/>
        <v>100</v>
      </c>
      <c r="H314" s="45">
        <f t="shared" si="22"/>
        <v>0</v>
      </c>
      <c r="I314" s="45">
        <f t="shared" si="22"/>
        <v>0</v>
      </c>
    </row>
    <row r="315" spans="1:9" x14ac:dyDescent="0.2">
      <c r="A315" s="54" t="s">
        <v>169</v>
      </c>
      <c r="B315" s="75"/>
      <c r="C315" s="43" t="s">
        <v>44</v>
      </c>
      <c r="D315" s="119" t="s">
        <v>42</v>
      </c>
      <c r="E315" s="42" t="s">
        <v>111</v>
      </c>
      <c r="F315" s="56"/>
      <c r="G315" s="45">
        <f>G316+G318</f>
        <v>100</v>
      </c>
      <c r="H315" s="45">
        <f t="shared" si="22"/>
        <v>0</v>
      </c>
      <c r="I315" s="45">
        <f t="shared" si="22"/>
        <v>0</v>
      </c>
    </row>
    <row r="316" spans="1:9" x14ac:dyDescent="0.2">
      <c r="A316" s="41" t="s">
        <v>11</v>
      </c>
      <c r="B316" s="75"/>
      <c r="C316" s="43" t="s">
        <v>44</v>
      </c>
      <c r="D316" s="119" t="s">
        <v>42</v>
      </c>
      <c r="E316" s="42" t="s">
        <v>273</v>
      </c>
      <c r="F316" s="56"/>
      <c r="G316" s="45">
        <f t="shared" si="22"/>
        <v>100</v>
      </c>
      <c r="H316" s="45">
        <f t="shared" si="22"/>
        <v>0</v>
      </c>
      <c r="I316" s="45">
        <f t="shared" si="22"/>
        <v>0</v>
      </c>
    </row>
    <row r="317" spans="1:9" ht="25.5" x14ac:dyDescent="0.2">
      <c r="A317" s="41" t="s">
        <v>83</v>
      </c>
      <c r="B317" s="75"/>
      <c r="C317" s="43" t="s">
        <v>44</v>
      </c>
      <c r="D317" s="119" t="s">
        <v>42</v>
      </c>
      <c r="E317" s="42" t="s">
        <v>273</v>
      </c>
      <c r="F317" s="43" t="s">
        <v>84</v>
      </c>
      <c r="G317" s="45">
        <f>400-100-165-35</f>
        <v>100</v>
      </c>
      <c r="H317" s="45">
        <v>0</v>
      </c>
      <c r="I317" s="45">
        <v>0</v>
      </c>
    </row>
    <row r="318" spans="1:9" x14ac:dyDescent="0.2">
      <c r="A318" s="120"/>
    </row>
    <row r="319" spans="1:9" x14ac:dyDescent="0.2">
      <c r="A319" s="120"/>
    </row>
    <row r="320" spans="1:9" x14ac:dyDescent="0.2">
      <c r="A320" s="120"/>
    </row>
    <row r="321" spans="1:1" x14ac:dyDescent="0.2">
      <c r="A321" s="120"/>
    </row>
    <row r="322" spans="1:1" x14ac:dyDescent="0.2">
      <c r="A322" s="120"/>
    </row>
    <row r="323" spans="1:1" x14ac:dyDescent="0.2">
      <c r="A323" s="120"/>
    </row>
    <row r="324" spans="1:1" x14ac:dyDescent="0.2">
      <c r="A324" s="120"/>
    </row>
    <row r="325" spans="1:1" x14ac:dyDescent="0.2">
      <c r="A325" s="120"/>
    </row>
    <row r="326" spans="1:1" x14ac:dyDescent="0.2">
      <c r="A326" s="120"/>
    </row>
    <row r="327" spans="1:1" x14ac:dyDescent="0.2">
      <c r="A327" s="120"/>
    </row>
    <row r="328" spans="1:1" x14ac:dyDescent="0.2">
      <c r="A328" s="120"/>
    </row>
    <row r="329" spans="1:1" x14ac:dyDescent="0.2">
      <c r="A329" s="120"/>
    </row>
    <row r="330" spans="1:1" x14ac:dyDescent="0.2">
      <c r="A330" s="120"/>
    </row>
    <row r="331" spans="1:1" x14ac:dyDescent="0.2">
      <c r="A331" s="120"/>
    </row>
    <row r="332" spans="1:1" x14ac:dyDescent="0.2">
      <c r="A332" s="120"/>
    </row>
    <row r="333" spans="1:1" x14ac:dyDescent="0.2">
      <c r="A333" s="120"/>
    </row>
    <row r="334" spans="1:1" x14ac:dyDescent="0.2">
      <c r="A334" s="120"/>
    </row>
    <row r="335" spans="1:1" x14ac:dyDescent="0.2">
      <c r="A335" s="120"/>
    </row>
    <row r="336" spans="1:1" x14ac:dyDescent="0.2">
      <c r="A336" s="120"/>
    </row>
    <row r="337" spans="1:1" x14ac:dyDescent="0.2">
      <c r="A337" s="120"/>
    </row>
    <row r="338" spans="1:1" x14ac:dyDescent="0.2">
      <c r="A338" s="120"/>
    </row>
    <row r="339" spans="1:1" x14ac:dyDescent="0.2">
      <c r="A339" s="120"/>
    </row>
    <row r="340" spans="1:1" x14ac:dyDescent="0.2">
      <c r="A340" s="120"/>
    </row>
    <row r="341" spans="1:1" x14ac:dyDescent="0.2">
      <c r="A341" s="120"/>
    </row>
    <row r="342" spans="1:1" x14ac:dyDescent="0.2">
      <c r="A342" s="120"/>
    </row>
    <row r="343" spans="1:1" x14ac:dyDescent="0.2">
      <c r="A343" s="120"/>
    </row>
    <row r="344" spans="1:1" x14ac:dyDescent="0.2">
      <c r="A344" s="120"/>
    </row>
    <row r="345" spans="1:1" x14ac:dyDescent="0.2">
      <c r="A345" s="120"/>
    </row>
    <row r="346" spans="1:1" x14ac:dyDescent="0.2">
      <c r="A346" s="120"/>
    </row>
    <row r="347" spans="1:1" x14ac:dyDescent="0.2">
      <c r="A347" s="120"/>
    </row>
    <row r="348" spans="1:1" x14ac:dyDescent="0.2">
      <c r="A348" s="120"/>
    </row>
    <row r="349" spans="1:1" x14ac:dyDescent="0.2">
      <c r="A349" s="120"/>
    </row>
    <row r="350" spans="1:1" x14ac:dyDescent="0.2">
      <c r="A350" s="120"/>
    </row>
    <row r="351" spans="1:1" x14ac:dyDescent="0.2">
      <c r="A351" s="120"/>
    </row>
    <row r="352" spans="1:1" x14ac:dyDescent="0.2">
      <c r="A352" s="120"/>
    </row>
    <row r="353" spans="1:1" x14ac:dyDescent="0.2">
      <c r="A353" s="120"/>
    </row>
    <row r="354" spans="1:1" x14ac:dyDescent="0.2">
      <c r="A354" s="120"/>
    </row>
    <row r="355" spans="1:1" x14ac:dyDescent="0.2">
      <c r="A355" s="120"/>
    </row>
    <row r="356" spans="1:1" x14ac:dyDescent="0.2">
      <c r="A356" s="120"/>
    </row>
    <row r="357" spans="1:1" x14ac:dyDescent="0.2">
      <c r="A357" s="120"/>
    </row>
    <row r="358" spans="1:1" x14ac:dyDescent="0.2">
      <c r="A358" s="120"/>
    </row>
    <row r="359" spans="1:1" x14ac:dyDescent="0.2">
      <c r="A359" s="120"/>
    </row>
    <row r="360" spans="1:1" x14ac:dyDescent="0.2">
      <c r="A360" s="120"/>
    </row>
    <row r="361" spans="1:1" x14ac:dyDescent="0.2">
      <c r="A361" s="120"/>
    </row>
    <row r="362" spans="1:1" x14ac:dyDescent="0.2">
      <c r="A362" s="120"/>
    </row>
    <row r="363" spans="1:1" x14ac:dyDescent="0.2">
      <c r="A363" s="120"/>
    </row>
    <row r="364" spans="1:1" x14ac:dyDescent="0.2">
      <c r="A364" s="120"/>
    </row>
    <row r="365" spans="1:1" x14ac:dyDescent="0.2">
      <c r="A365" s="120"/>
    </row>
    <row r="366" spans="1:1" x14ac:dyDescent="0.2">
      <c r="A366" s="120"/>
    </row>
    <row r="367" spans="1:1" x14ac:dyDescent="0.2">
      <c r="A367" s="120"/>
    </row>
    <row r="368" spans="1:1" x14ac:dyDescent="0.2">
      <c r="A368" s="120"/>
    </row>
    <row r="369" spans="1:1" x14ac:dyDescent="0.2">
      <c r="A369" s="120"/>
    </row>
    <row r="370" spans="1:1" x14ac:dyDescent="0.2">
      <c r="A370" s="120"/>
    </row>
    <row r="371" spans="1:1" x14ac:dyDescent="0.2">
      <c r="A371" s="120"/>
    </row>
    <row r="372" spans="1:1" x14ac:dyDescent="0.2">
      <c r="A372" s="120"/>
    </row>
    <row r="373" spans="1:1" x14ac:dyDescent="0.2">
      <c r="A373" s="120"/>
    </row>
    <row r="374" spans="1:1" x14ac:dyDescent="0.2">
      <c r="A374" s="120"/>
    </row>
    <row r="375" spans="1:1" x14ac:dyDescent="0.2">
      <c r="A375" s="120"/>
    </row>
    <row r="376" spans="1:1" x14ac:dyDescent="0.2">
      <c r="A376" s="120"/>
    </row>
    <row r="377" spans="1:1" x14ac:dyDescent="0.2">
      <c r="A377" s="120"/>
    </row>
    <row r="378" spans="1:1" x14ac:dyDescent="0.2">
      <c r="A378" s="120"/>
    </row>
    <row r="379" spans="1:1" x14ac:dyDescent="0.2">
      <c r="A379" s="120"/>
    </row>
    <row r="380" spans="1:1" x14ac:dyDescent="0.2">
      <c r="A380" s="120"/>
    </row>
    <row r="381" spans="1:1" x14ac:dyDescent="0.2">
      <c r="A381" s="120"/>
    </row>
    <row r="382" spans="1:1" x14ac:dyDescent="0.2">
      <c r="A382" s="120"/>
    </row>
    <row r="383" spans="1:1" x14ac:dyDescent="0.2">
      <c r="A383" s="120"/>
    </row>
    <row r="384" spans="1:1" x14ac:dyDescent="0.2">
      <c r="A384" s="120"/>
    </row>
    <row r="385" spans="1:1" x14ac:dyDescent="0.2">
      <c r="A385" s="120"/>
    </row>
    <row r="386" spans="1:1" x14ac:dyDescent="0.2">
      <c r="A386" s="120"/>
    </row>
    <row r="387" spans="1:1" x14ac:dyDescent="0.2">
      <c r="A387" s="120"/>
    </row>
    <row r="388" spans="1:1" x14ac:dyDescent="0.2">
      <c r="A388" s="120"/>
    </row>
    <row r="389" spans="1:1" x14ac:dyDescent="0.2">
      <c r="A389" s="120"/>
    </row>
    <row r="390" spans="1:1" x14ac:dyDescent="0.2">
      <c r="A390" s="120"/>
    </row>
    <row r="391" spans="1:1" x14ac:dyDescent="0.2">
      <c r="A391" s="120"/>
    </row>
    <row r="392" spans="1:1" x14ac:dyDescent="0.2">
      <c r="A392" s="120"/>
    </row>
    <row r="393" spans="1:1" x14ac:dyDescent="0.2">
      <c r="A393" s="120"/>
    </row>
    <row r="394" spans="1:1" x14ac:dyDescent="0.2">
      <c r="A394" s="120"/>
    </row>
    <row r="395" spans="1:1" x14ac:dyDescent="0.2">
      <c r="A395" s="120"/>
    </row>
    <row r="396" spans="1:1" x14ac:dyDescent="0.2">
      <c r="A396" s="120"/>
    </row>
    <row r="397" spans="1:1" x14ac:dyDescent="0.2">
      <c r="A397" s="120"/>
    </row>
    <row r="398" spans="1:1" x14ac:dyDescent="0.2">
      <c r="A398" s="120"/>
    </row>
    <row r="399" spans="1:1" x14ac:dyDescent="0.2">
      <c r="A399" s="120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tabSelected="1" topLeftCell="A310" zoomScaleNormal="100" workbookViewId="0">
      <selection activeCell="F259" sqref="F259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7" customWidth="1"/>
    <col min="9" max="9" width="9.140625" style="1"/>
    <col min="10" max="10" width="12.7109375" style="1" bestFit="1" customWidth="1"/>
    <col min="11" max="16384" width="9.140625" style="1"/>
  </cols>
  <sheetData>
    <row r="1" spans="1:12" x14ac:dyDescent="0.2">
      <c r="I1" s="21" t="s">
        <v>256</v>
      </c>
      <c r="J1" s="24"/>
      <c r="K1" s="24"/>
      <c r="L1" s="24"/>
    </row>
    <row r="2" spans="1:12" x14ac:dyDescent="0.2">
      <c r="I2" s="22" t="s">
        <v>172</v>
      </c>
      <c r="J2" s="25"/>
      <c r="K2" s="25"/>
      <c r="L2" s="25"/>
    </row>
    <row r="3" spans="1:12" x14ac:dyDescent="0.2">
      <c r="I3" s="22" t="s">
        <v>173</v>
      </c>
      <c r="J3" s="25"/>
      <c r="K3" s="25"/>
      <c r="L3" s="25"/>
    </row>
    <row r="4" spans="1:12" x14ac:dyDescent="0.2">
      <c r="I4" s="22" t="s">
        <v>174</v>
      </c>
      <c r="J4" s="25"/>
      <c r="K4" s="25"/>
      <c r="L4" s="25"/>
    </row>
    <row r="5" spans="1:12" ht="15.75" x14ac:dyDescent="0.25">
      <c r="I5" s="131" t="s">
        <v>320</v>
      </c>
      <c r="J5" s="26"/>
      <c r="K5" s="26"/>
      <c r="L5" s="25"/>
    </row>
    <row r="6" spans="1:12" ht="48.75" customHeight="1" x14ac:dyDescent="0.25">
      <c r="A6" s="162" t="s">
        <v>259</v>
      </c>
      <c r="B6" s="162"/>
      <c r="C6" s="162"/>
      <c r="D6" s="162"/>
      <c r="E6" s="162"/>
      <c r="F6" s="162"/>
      <c r="G6" s="162"/>
      <c r="I6" s="27"/>
    </row>
    <row r="7" spans="1:12" x14ac:dyDescent="0.2">
      <c r="I7" s="27" t="s">
        <v>0</v>
      </c>
    </row>
    <row r="9" spans="1:12" x14ac:dyDescent="0.2">
      <c r="A9" s="28" t="s">
        <v>1</v>
      </c>
      <c r="B9" s="28" t="s">
        <v>49</v>
      </c>
      <c r="C9" s="28" t="s">
        <v>2</v>
      </c>
      <c r="D9" s="28" t="s">
        <v>3</v>
      </c>
      <c r="E9" s="28" t="s">
        <v>4</v>
      </c>
      <c r="F9" s="29" t="s">
        <v>5</v>
      </c>
      <c r="G9" s="30">
        <v>2018</v>
      </c>
      <c r="H9" s="30">
        <v>2019</v>
      </c>
      <c r="I9" s="30">
        <v>2020</v>
      </c>
    </row>
    <row r="10" spans="1:12" x14ac:dyDescent="0.2">
      <c r="A10" s="31"/>
      <c r="B10" s="31"/>
      <c r="C10" s="31"/>
      <c r="D10" s="31"/>
      <c r="E10" s="31"/>
      <c r="F10" s="32"/>
      <c r="G10" s="30" t="s">
        <v>6</v>
      </c>
      <c r="H10" s="30" t="s">
        <v>6</v>
      </c>
      <c r="I10" s="30" t="s">
        <v>6</v>
      </c>
    </row>
    <row r="11" spans="1:12" ht="29.25" x14ac:dyDescent="0.25">
      <c r="A11" s="33" t="s">
        <v>26</v>
      </c>
      <c r="B11" s="34">
        <v>911</v>
      </c>
      <c r="C11" s="35" t="s">
        <v>16</v>
      </c>
      <c r="D11" s="35"/>
      <c r="E11" s="35"/>
      <c r="F11" s="35" t="s">
        <v>16</v>
      </c>
      <c r="G11" s="36">
        <f>G27+G20+G72+G94+G102+G154+G218+G272+G279+G231+G211+G263+G287+G12+G257+G138+G226</f>
        <v>43626.922000000006</v>
      </c>
      <c r="H11" s="36">
        <f>H27+H20+H72+H94+H102+H154+H218+H272+H279+H231+H211+H263+H287+H12+H257+H138+H226</f>
        <v>31522.287999999997</v>
      </c>
      <c r="I11" s="36">
        <f>I27+I20+I72+I94+I102+I154+I218+I272+I279+I231+I211+I263+I287+I12+I257+I138+I226</f>
        <v>33142.976999999992</v>
      </c>
      <c r="J11" s="16"/>
      <c r="K11" s="16"/>
    </row>
    <row r="12" spans="1:12" ht="39" x14ac:dyDescent="0.25">
      <c r="A12" s="37" t="s">
        <v>278</v>
      </c>
      <c r="B12" s="34"/>
      <c r="C12" s="38" t="s">
        <v>279</v>
      </c>
      <c r="D12" s="39" t="s">
        <v>47</v>
      </c>
      <c r="E12" s="39" t="s">
        <v>38</v>
      </c>
      <c r="F12" s="39"/>
      <c r="G12" s="40">
        <f>G14</f>
        <v>5585.692</v>
      </c>
      <c r="H12" s="36"/>
      <c r="I12" s="36"/>
      <c r="J12" s="16"/>
    </row>
    <row r="13" spans="1:12" ht="15" x14ac:dyDescent="0.25">
      <c r="A13" s="41" t="s">
        <v>277</v>
      </c>
      <c r="B13" s="34"/>
      <c r="C13" s="42" t="s">
        <v>279</v>
      </c>
      <c r="D13" s="43" t="s">
        <v>47</v>
      </c>
      <c r="E13" s="43" t="s">
        <v>38</v>
      </c>
      <c r="F13" s="44"/>
      <c r="G13" s="45">
        <f>G14</f>
        <v>5585.692</v>
      </c>
      <c r="H13" s="36"/>
      <c r="I13" s="36"/>
    </row>
    <row r="14" spans="1:12" ht="15" x14ac:dyDescent="0.25">
      <c r="A14" s="41" t="s">
        <v>281</v>
      </c>
      <c r="B14" s="34"/>
      <c r="C14" s="42" t="s">
        <v>280</v>
      </c>
      <c r="D14" s="43" t="s">
        <v>47</v>
      </c>
      <c r="E14" s="43" t="s">
        <v>38</v>
      </c>
      <c r="F14" s="44"/>
      <c r="G14" s="45">
        <f>G15</f>
        <v>5585.692</v>
      </c>
      <c r="H14" s="36"/>
      <c r="I14" s="36"/>
    </row>
    <row r="15" spans="1:12" ht="15" x14ac:dyDescent="0.25">
      <c r="A15" s="41" t="s">
        <v>281</v>
      </c>
      <c r="B15" s="34"/>
      <c r="C15" s="42" t="s">
        <v>282</v>
      </c>
      <c r="D15" s="43" t="s">
        <v>47</v>
      </c>
      <c r="E15" s="43" t="s">
        <v>38</v>
      </c>
      <c r="F15" s="44"/>
      <c r="G15" s="45">
        <f>G16+G19</f>
        <v>5585.692</v>
      </c>
      <c r="H15" s="36"/>
      <c r="I15" s="36"/>
    </row>
    <row r="16" spans="1:12" ht="39" x14ac:dyDescent="0.25">
      <c r="A16" s="41" t="s">
        <v>286</v>
      </c>
      <c r="B16" s="34"/>
      <c r="C16" s="42" t="s">
        <v>283</v>
      </c>
      <c r="D16" s="43" t="s">
        <v>47</v>
      </c>
      <c r="E16" s="43" t="s">
        <v>38</v>
      </c>
      <c r="F16" s="44"/>
      <c r="G16" s="45">
        <f>G17</f>
        <v>5528.9920000000002</v>
      </c>
      <c r="H16" s="36"/>
      <c r="I16" s="36"/>
    </row>
    <row r="17" spans="1:10" ht="15" x14ac:dyDescent="0.25">
      <c r="A17" s="41" t="s">
        <v>285</v>
      </c>
      <c r="B17" s="34"/>
      <c r="C17" s="42" t="s">
        <v>283</v>
      </c>
      <c r="D17" s="43" t="s">
        <v>47</v>
      </c>
      <c r="E17" s="43" t="s">
        <v>38</v>
      </c>
      <c r="F17" s="43" t="s">
        <v>284</v>
      </c>
      <c r="G17" s="45">
        <f>5528.992</f>
        <v>5528.9920000000002</v>
      </c>
      <c r="H17" s="36"/>
      <c r="I17" s="36"/>
    </row>
    <row r="18" spans="1:10" ht="39" x14ac:dyDescent="0.25">
      <c r="A18" s="41" t="s">
        <v>305</v>
      </c>
      <c r="B18" s="34"/>
      <c r="C18" s="42" t="s">
        <v>304</v>
      </c>
      <c r="D18" s="43" t="s">
        <v>47</v>
      </c>
      <c r="E18" s="43" t="s">
        <v>38</v>
      </c>
      <c r="F18" s="43"/>
      <c r="G18" s="45">
        <f>G19</f>
        <v>56.7</v>
      </c>
      <c r="H18" s="36"/>
      <c r="I18" s="36"/>
    </row>
    <row r="19" spans="1:10" ht="15" x14ac:dyDescent="0.25">
      <c r="A19" s="41" t="s">
        <v>285</v>
      </c>
      <c r="B19" s="34"/>
      <c r="C19" s="42" t="s">
        <v>304</v>
      </c>
      <c r="D19" s="43" t="s">
        <v>47</v>
      </c>
      <c r="E19" s="43" t="s">
        <v>38</v>
      </c>
      <c r="F19" s="43" t="s">
        <v>284</v>
      </c>
      <c r="G19" s="45">
        <f>56.7</f>
        <v>56.7</v>
      </c>
      <c r="H19" s="36"/>
      <c r="I19" s="36"/>
    </row>
    <row r="20" spans="1:10" ht="66" customHeight="1" x14ac:dyDescent="0.25">
      <c r="A20" s="46" t="s">
        <v>107</v>
      </c>
      <c r="B20" s="47"/>
      <c r="C20" s="48" t="s">
        <v>108</v>
      </c>
      <c r="D20" s="49" t="s">
        <v>38</v>
      </c>
      <c r="E20" s="49" t="s">
        <v>43</v>
      </c>
      <c r="F20" s="49"/>
      <c r="G20" s="36">
        <f>G21</f>
        <v>85.1</v>
      </c>
      <c r="H20" s="36">
        <f t="shared" ref="G20:I25" si="0">H21</f>
        <v>630</v>
      </c>
      <c r="I20" s="36">
        <f t="shared" si="0"/>
        <v>490</v>
      </c>
    </row>
    <row r="21" spans="1:10" ht="29.25" x14ac:dyDescent="0.25">
      <c r="A21" s="33" t="s">
        <v>32</v>
      </c>
      <c r="B21" s="50">
        <v>911</v>
      </c>
      <c r="C21" s="51"/>
      <c r="D21" s="49" t="s">
        <v>38</v>
      </c>
      <c r="E21" s="49" t="s">
        <v>37</v>
      </c>
      <c r="F21" s="49"/>
      <c r="G21" s="40">
        <f t="shared" si="0"/>
        <v>85.1</v>
      </c>
      <c r="H21" s="40">
        <f t="shared" si="0"/>
        <v>630</v>
      </c>
      <c r="I21" s="40">
        <f t="shared" si="0"/>
        <v>490</v>
      </c>
      <c r="J21" s="52"/>
    </row>
    <row r="22" spans="1:10" ht="27.75" customHeight="1" x14ac:dyDescent="0.2">
      <c r="A22" s="41" t="s">
        <v>31</v>
      </c>
      <c r="B22" s="53"/>
      <c r="C22" s="43"/>
      <c r="D22" s="43" t="s">
        <v>38</v>
      </c>
      <c r="E22" s="43" t="s">
        <v>43</v>
      </c>
      <c r="F22" s="43"/>
      <c r="G22" s="45">
        <f t="shared" si="0"/>
        <v>85.1</v>
      </c>
      <c r="H22" s="45">
        <f t="shared" si="0"/>
        <v>630</v>
      </c>
      <c r="I22" s="45">
        <f t="shared" si="0"/>
        <v>490</v>
      </c>
      <c r="J22" s="52"/>
    </row>
    <row r="23" spans="1:10" ht="30" customHeight="1" x14ac:dyDescent="0.2">
      <c r="A23" s="54" t="s">
        <v>230</v>
      </c>
      <c r="B23" s="55"/>
      <c r="C23" s="42" t="s">
        <v>109</v>
      </c>
      <c r="D23" s="56" t="s">
        <v>38</v>
      </c>
      <c r="E23" s="56" t="s">
        <v>43</v>
      </c>
      <c r="F23" s="56"/>
      <c r="G23" s="45">
        <f t="shared" si="0"/>
        <v>85.1</v>
      </c>
      <c r="H23" s="45">
        <f t="shared" si="0"/>
        <v>630</v>
      </c>
      <c r="I23" s="45">
        <f t="shared" si="0"/>
        <v>490</v>
      </c>
      <c r="J23" s="52"/>
    </row>
    <row r="24" spans="1:10" ht="51" x14ac:dyDescent="0.2">
      <c r="A24" s="54" t="s">
        <v>201</v>
      </c>
      <c r="B24" s="57"/>
      <c r="C24" s="42" t="s">
        <v>110</v>
      </c>
      <c r="D24" s="56" t="s">
        <v>38</v>
      </c>
      <c r="E24" s="56" t="s">
        <v>43</v>
      </c>
      <c r="F24" s="56"/>
      <c r="G24" s="45">
        <f t="shared" si="0"/>
        <v>85.1</v>
      </c>
      <c r="H24" s="45">
        <f t="shared" si="0"/>
        <v>630</v>
      </c>
      <c r="I24" s="45">
        <f t="shared" si="0"/>
        <v>490</v>
      </c>
      <c r="J24" s="52"/>
    </row>
    <row r="25" spans="1:10" x14ac:dyDescent="0.2">
      <c r="A25" s="54" t="s">
        <v>177</v>
      </c>
      <c r="B25" s="57"/>
      <c r="C25" s="42" t="s">
        <v>145</v>
      </c>
      <c r="D25" s="56" t="s">
        <v>38</v>
      </c>
      <c r="E25" s="56" t="s">
        <v>43</v>
      </c>
      <c r="F25" s="56"/>
      <c r="G25" s="45">
        <f t="shared" si="0"/>
        <v>85.1</v>
      </c>
      <c r="H25" s="45">
        <f t="shared" si="0"/>
        <v>630</v>
      </c>
      <c r="I25" s="45">
        <f t="shared" si="0"/>
        <v>490</v>
      </c>
      <c r="J25" s="52"/>
    </row>
    <row r="26" spans="1:10" ht="25.5" x14ac:dyDescent="0.2">
      <c r="A26" s="41" t="s">
        <v>83</v>
      </c>
      <c r="B26" s="57"/>
      <c r="C26" s="42" t="s">
        <v>145</v>
      </c>
      <c r="D26" s="56" t="s">
        <v>38</v>
      </c>
      <c r="E26" s="56" t="s">
        <v>43</v>
      </c>
      <c r="F26" s="44" t="s">
        <v>84</v>
      </c>
      <c r="G26" s="45">
        <f>379-120-173.9</f>
        <v>85.1</v>
      </c>
      <c r="H26" s="45">
        <v>630</v>
      </c>
      <c r="I26" s="45">
        <v>490</v>
      </c>
      <c r="J26" s="52"/>
    </row>
    <row r="27" spans="1:10" ht="42.75" x14ac:dyDescent="0.25">
      <c r="A27" s="46" t="s">
        <v>120</v>
      </c>
      <c r="B27" s="34"/>
      <c r="C27" s="48" t="s">
        <v>116</v>
      </c>
      <c r="D27" s="34"/>
      <c r="E27" s="34"/>
      <c r="F27" s="34"/>
      <c r="G27" s="36">
        <f>G28+G33+G64</f>
        <v>4608.2679999999991</v>
      </c>
      <c r="H27" s="36">
        <f>H28+H33+H64</f>
        <v>5611.1950000000006</v>
      </c>
      <c r="I27" s="36">
        <f>I28+I33+I64</f>
        <v>5500.2260000000006</v>
      </c>
      <c r="J27" s="52"/>
    </row>
    <row r="28" spans="1:10" ht="29.25" x14ac:dyDescent="0.25">
      <c r="A28" s="58" t="s">
        <v>276</v>
      </c>
      <c r="B28" s="59"/>
      <c r="C28" s="49"/>
      <c r="D28" s="49" t="s">
        <v>45</v>
      </c>
      <c r="E28" s="49" t="s">
        <v>45</v>
      </c>
      <c r="F28" s="49"/>
      <c r="G28" s="36">
        <f t="shared" ref="G28:I31" si="1">G29</f>
        <v>128.9</v>
      </c>
      <c r="H28" s="36">
        <f t="shared" si="1"/>
        <v>130</v>
      </c>
      <c r="I28" s="36">
        <f t="shared" si="1"/>
        <v>130</v>
      </c>
      <c r="J28" s="52"/>
    </row>
    <row r="29" spans="1:10" ht="38.25" x14ac:dyDescent="0.2">
      <c r="A29" s="60" t="s">
        <v>168</v>
      </c>
      <c r="B29" s="61"/>
      <c r="C29" s="42" t="s">
        <v>136</v>
      </c>
      <c r="D29" s="51" t="s">
        <v>45</v>
      </c>
      <c r="E29" s="51" t="s">
        <v>45</v>
      </c>
      <c r="F29" s="62" t="s">
        <v>16</v>
      </c>
      <c r="G29" s="45">
        <f t="shared" si="1"/>
        <v>128.9</v>
      </c>
      <c r="H29" s="45">
        <f t="shared" si="1"/>
        <v>130</v>
      </c>
      <c r="I29" s="45">
        <f t="shared" si="1"/>
        <v>130</v>
      </c>
      <c r="J29" s="52"/>
    </row>
    <row r="30" spans="1:10" ht="25.5" x14ac:dyDescent="0.2">
      <c r="A30" s="54" t="s">
        <v>141</v>
      </c>
      <c r="B30" s="59"/>
      <c r="C30" s="42" t="s">
        <v>137</v>
      </c>
      <c r="D30" s="51" t="s">
        <v>45</v>
      </c>
      <c r="E30" s="51" t="s">
        <v>45</v>
      </c>
      <c r="F30" s="62" t="s">
        <v>16</v>
      </c>
      <c r="G30" s="45">
        <f t="shared" si="1"/>
        <v>128.9</v>
      </c>
      <c r="H30" s="45">
        <f t="shared" si="1"/>
        <v>130</v>
      </c>
      <c r="I30" s="45">
        <f t="shared" si="1"/>
        <v>130</v>
      </c>
      <c r="J30" s="52"/>
    </row>
    <row r="31" spans="1:10" ht="25.5" x14ac:dyDescent="0.2">
      <c r="A31" s="41" t="s">
        <v>143</v>
      </c>
      <c r="B31" s="59"/>
      <c r="C31" s="42" t="s">
        <v>142</v>
      </c>
      <c r="D31" s="51" t="s">
        <v>45</v>
      </c>
      <c r="E31" s="51" t="s">
        <v>45</v>
      </c>
      <c r="F31" s="62"/>
      <c r="G31" s="45">
        <f t="shared" si="1"/>
        <v>128.9</v>
      </c>
      <c r="H31" s="45">
        <f t="shared" si="1"/>
        <v>130</v>
      </c>
      <c r="I31" s="45">
        <f t="shared" si="1"/>
        <v>130</v>
      </c>
      <c r="J31" s="52"/>
    </row>
    <row r="32" spans="1:10" ht="14.25" x14ac:dyDescent="0.2">
      <c r="A32" s="63" t="s">
        <v>144</v>
      </c>
      <c r="B32" s="59"/>
      <c r="C32" s="64" t="s">
        <v>140</v>
      </c>
      <c r="D32" s="51" t="s">
        <v>45</v>
      </c>
      <c r="E32" s="51" t="s">
        <v>45</v>
      </c>
      <c r="F32" s="42">
        <v>110</v>
      </c>
      <c r="G32" s="45">
        <f>130-1.1</f>
        <v>128.9</v>
      </c>
      <c r="H32" s="45">
        <v>130</v>
      </c>
      <c r="I32" s="45">
        <v>130</v>
      </c>
      <c r="J32" s="52"/>
    </row>
    <row r="33" spans="1:10" x14ac:dyDescent="0.2">
      <c r="A33" s="37" t="s">
        <v>15</v>
      </c>
      <c r="B33" s="50">
        <v>911</v>
      </c>
      <c r="C33" s="50"/>
      <c r="D33" s="39" t="s">
        <v>46</v>
      </c>
      <c r="E33" s="39" t="s">
        <v>37</v>
      </c>
      <c r="F33" s="50" t="s">
        <v>16</v>
      </c>
      <c r="G33" s="40">
        <f>G34+G53</f>
        <v>4474.6679999999997</v>
      </c>
      <c r="H33" s="40">
        <f>H34+H53</f>
        <v>5289.1950000000006</v>
      </c>
      <c r="I33" s="40">
        <f>I34+I53</f>
        <v>5178.2260000000006</v>
      </c>
      <c r="J33" s="52"/>
    </row>
    <row r="34" spans="1:10" x14ac:dyDescent="0.2">
      <c r="A34" s="37" t="s">
        <v>13</v>
      </c>
      <c r="B34" s="65"/>
      <c r="C34" s="50"/>
      <c r="D34" s="39" t="s">
        <v>46</v>
      </c>
      <c r="E34" s="39" t="s">
        <v>36</v>
      </c>
      <c r="F34" s="50" t="s">
        <v>16</v>
      </c>
      <c r="G34" s="40">
        <f>G35+G41+G47</f>
        <v>3760.9679999999998</v>
      </c>
      <c r="H34" s="40">
        <f>H35+H41+H47</f>
        <v>4181.3950000000004</v>
      </c>
      <c r="I34" s="40">
        <f>I35+I41+I47</f>
        <v>4069.9170000000004</v>
      </c>
      <c r="J34" s="52"/>
    </row>
    <row r="35" spans="1:10" ht="25.5" x14ac:dyDescent="0.2">
      <c r="A35" s="54" t="s">
        <v>198</v>
      </c>
      <c r="B35" s="59"/>
      <c r="C35" s="42" t="s">
        <v>117</v>
      </c>
      <c r="D35" s="56" t="s">
        <v>46</v>
      </c>
      <c r="E35" s="56" t="s">
        <v>36</v>
      </c>
      <c r="F35" s="62" t="s">
        <v>16</v>
      </c>
      <c r="G35" s="45">
        <f t="shared" ref="G35:I36" si="2">G36</f>
        <v>2753.317</v>
      </c>
      <c r="H35" s="45">
        <f t="shared" si="2"/>
        <v>2782.4300000000003</v>
      </c>
      <c r="I35" s="45">
        <f t="shared" si="2"/>
        <v>2735.4520000000002</v>
      </c>
      <c r="J35" s="52"/>
    </row>
    <row r="36" spans="1:10" x14ac:dyDescent="0.2">
      <c r="A36" s="54" t="s">
        <v>115</v>
      </c>
      <c r="B36" s="59"/>
      <c r="C36" s="42" t="s">
        <v>118</v>
      </c>
      <c r="D36" s="56" t="s">
        <v>46</v>
      </c>
      <c r="E36" s="56" t="s">
        <v>36</v>
      </c>
      <c r="F36" s="62"/>
      <c r="G36" s="45">
        <f t="shared" si="2"/>
        <v>2753.317</v>
      </c>
      <c r="H36" s="45">
        <f t="shared" si="2"/>
        <v>2782.4300000000003</v>
      </c>
      <c r="I36" s="45">
        <f t="shared" si="2"/>
        <v>2735.4520000000002</v>
      </c>
      <c r="J36" s="52"/>
    </row>
    <row r="37" spans="1:10" x14ac:dyDescent="0.2">
      <c r="A37" s="54" t="s">
        <v>75</v>
      </c>
      <c r="B37" s="59"/>
      <c r="C37" s="66" t="s">
        <v>119</v>
      </c>
      <c r="D37" s="56" t="s">
        <v>46</v>
      </c>
      <c r="E37" s="56" t="s">
        <v>36</v>
      </c>
      <c r="F37" s="62"/>
      <c r="G37" s="45">
        <f>G38+G40+G39</f>
        <v>2753.317</v>
      </c>
      <c r="H37" s="45">
        <f>H38+H40+H39</f>
        <v>2782.4300000000003</v>
      </c>
      <c r="I37" s="45">
        <f>I38+I40+I39</f>
        <v>2735.4520000000002</v>
      </c>
      <c r="J37" s="52"/>
    </row>
    <row r="38" spans="1:10" x14ac:dyDescent="0.2">
      <c r="A38" s="63" t="s">
        <v>144</v>
      </c>
      <c r="B38" s="59"/>
      <c r="C38" s="67" t="s">
        <v>119</v>
      </c>
      <c r="D38" s="56" t="s">
        <v>46</v>
      </c>
      <c r="E38" s="56" t="s">
        <v>36</v>
      </c>
      <c r="F38" s="42">
        <v>110</v>
      </c>
      <c r="G38" s="45">
        <f>1005.004+180</f>
        <v>1185.0039999999999</v>
      </c>
      <c r="H38" s="45">
        <f>1257.976-H39</f>
        <v>1005.0040000000001</v>
      </c>
      <c r="I38" s="45">
        <f>1257.976-I39</f>
        <v>1005.0040000000001</v>
      </c>
      <c r="J38" s="52"/>
    </row>
    <row r="39" spans="1:10" x14ac:dyDescent="0.2">
      <c r="A39" s="63" t="s">
        <v>144</v>
      </c>
      <c r="B39" s="59"/>
      <c r="C39" s="67" t="s">
        <v>211</v>
      </c>
      <c r="D39" s="56" t="s">
        <v>46</v>
      </c>
      <c r="E39" s="56" t="s">
        <v>36</v>
      </c>
      <c r="F39" s="42">
        <v>110</v>
      </c>
      <c r="G39" s="45">
        <f>252.972+155</f>
        <v>407.97199999999998</v>
      </c>
      <c r="H39" s="45">
        <v>252.97200000000001</v>
      </c>
      <c r="I39" s="45">
        <v>252.97200000000001</v>
      </c>
      <c r="J39" s="52"/>
    </row>
    <row r="40" spans="1:10" ht="25.5" x14ac:dyDescent="0.2">
      <c r="A40" s="41" t="s">
        <v>83</v>
      </c>
      <c r="B40" s="59"/>
      <c r="C40" s="67" t="s">
        <v>119</v>
      </c>
      <c r="D40" s="56" t="s">
        <v>46</v>
      </c>
      <c r="E40" s="56" t="s">
        <v>36</v>
      </c>
      <c r="F40" s="56" t="s">
        <v>84</v>
      </c>
      <c r="G40" s="45">
        <f>1415.813-30.8-131.072-100+6.5+25-26.7+1.6</f>
        <v>1160.3410000000001</v>
      </c>
      <c r="H40" s="45">
        <v>1524.454</v>
      </c>
      <c r="I40" s="45">
        <v>1477.4759999999999</v>
      </c>
      <c r="J40" s="52"/>
    </row>
    <row r="41" spans="1:10" x14ac:dyDescent="0.2">
      <c r="A41" s="54" t="s">
        <v>242</v>
      </c>
      <c r="B41" s="59"/>
      <c r="C41" s="67" t="s">
        <v>248</v>
      </c>
      <c r="D41" s="56" t="s">
        <v>46</v>
      </c>
      <c r="E41" s="56" t="s">
        <v>36</v>
      </c>
      <c r="F41" s="42"/>
      <c r="G41" s="45">
        <f t="shared" ref="G41:I42" si="3">G42</f>
        <v>420.74800000000005</v>
      </c>
      <c r="H41" s="45">
        <f t="shared" si="3"/>
        <v>616.06200000000001</v>
      </c>
      <c r="I41" s="45">
        <f t="shared" si="3"/>
        <v>551.56200000000001</v>
      </c>
      <c r="J41" s="52"/>
    </row>
    <row r="42" spans="1:10" x14ac:dyDescent="0.2">
      <c r="A42" s="54" t="s">
        <v>243</v>
      </c>
      <c r="B42" s="59"/>
      <c r="C42" s="67" t="s">
        <v>245</v>
      </c>
      <c r="D42" s="56" t="s">
        <v>46</v>
      </c>
      <c r="E42" s="56" t="s">
        <v>36</v>
      </c>
      <c r="F42" s="42"/>
      <c r="G42" s="45">
        <f t="shared" si="3"/>
        <v>420.74800000000005</v>
      </c>
      <c r="H42" s="45">
        <f t="shared" si="3"/>
        <v>616.06200000000001</v>
      </c>
      <c r="I42" s="45">
        <f t="shared" si="3"/>
        <v>551.56200000000001</v>
      </c>
      <c r="J42" s="52"/>
    </row>
    <row r="43" spans="1:10" x14ac:dyDescent="0.2">
      <c r="A43" s="54" t="s">
        <v>244</v>
      </c>
      <c r="B43" s="59"/>
      <c r="C43" s="67" t="s">
        <v>245</v>
      </c>
      <c r="D43" s="56" t="s">
        <v>46</v>
      </c>
      <c r="E43" s="56" t="s">
        <v>36</v>
      </c>
      <c r="F43" s="42"/>
      <c r="G43" s="45">
        <f>G44+G46+G45</f>
        <v>420.74800000000005</v>
      </c>
      <c r="H43" s="45">
        <f>H44+H46+H45</f>
        <v>616.06200000000001</v>
      </c>
      <c r="I43" s="45">
        <f>I44+I46+I45</f>
        <v>551.56200000000001</v>
      </c>
      <c r="J43" s="52"/>
    </row>
    <row r="44" spans="1:10" x14ac:dyDescent="0.2">
      <c r="A44" s="63" t="s">
        <v>144</v>
      </c>
      <c r="B44" s="59"/>
      <c r="C44" s="67" t="s">
        <v>245</v>
      </c>
      <c r="D44" s="56" t="s">
        <v>46</v>
      </c>
      <c r="E44" s="56" t="s">
        <v>36</v>
      </c>
      <c r="F44" s="42">
        <v>110</v>
      </c>
      <c r="G44" s="45">
        <f>345.562-51-34.986-12.44</f>
        <v>247.13600000000002</v>
      </c>
      <c r="H44" s="45">
        <f>345.562-H45</f>
        <v>294.60900000000004</v>
      </c>
      <c r="I44" s="45">
        <f>345.562-I45</f>
        <v>294.60900000000004</v>
      </c>
      <c r="J44" s="52"/>
    </row>
    <row r="45" spans="1:10" x14ac:dyDescent="0.2">
      <c r="A45" s="63" t="s">
        <v>144</v>
      </c>
      <c r="B45" s="59"/>
      <c r="C45" s="67" t="s">
        <v>257</v>
      </c>
      <c r="D45" s="56" t="s">
        <v>46</v>
      </c>
      <c r="E45" s="56" t="s">
        <v>36</v>
      </c>
      <c r="F45" s="42">
        <v>110</v>
      </c>
      <c r="G45" s="45">
        <f>50.953-4.18-1.561</f>
        <v>45.212000000000003</v>
      </c>
      <c r="H45" s="45">
        <v>50.953000000000003</v>
      </c>
      <c r="I45" s="45">
        <v>50.953000000000003</v>
      </c>
      <c r="J45" s="52"/>
    </row>
    <row r="46" spans="1:10" ht="25.5" x14ac:dyDescent="0.2">
      <c r="A46" s="41" t="s">
        <v>83</v>
      </c>
      <c r="B46" s="59"/>
      <c r="C46" s="67" t="s">
        <v>245</v>
      </c>
      <c r="D46" s="56" t="s">
        <v>46</v>
      </c>
      <c r="E46" s="56" t="s">
        <v>36</v>
      </c>
      <c r="F46" s="56" t="s">
        <v>84</v>
      </c>
      <c r="G46" s="45">
        <f>460.1-120-76.5-135.2</f>
        <v>128.40000000000003</v>
      </c>
      <c r="H46" s="45">
        <v>270.5</v>
      </c>
      <c r="I46" s="45">
        <v>206</v>
      </c>
      <c r="J46" s="52"/>
    </row>
    <row r="47" spans="1:10" ht="38.25" x14ac:dyDescent="0.2">
      <c r="A47" s="54" t="s">
        <v>199</v>
      </c>
      <c r="B47" s="59"/>
      <c r="C47" s="42" t="s">
        <v>121</v>
      </c>
      <c r="D47" s="56" t="s">
        <v>46</v>
      </c>
      <c r="E47" s="56" t="s">
        <v>36</v>
      </c>
      <c r="F47" s="62"/>
      <c r="G47" s="45">
        <f t="shared" ref="G47:I48" si="4">G48</f>
        <v>586.90300000000002</v>
      </c>
      <c r="H47" s="45">
        <f t="shared" si="4"/>
        <v>782.90300000000002</v>
      </c>
      <c r="I47" s="45">
        <f t="shared" si="4"/>
        <v>782.90300000000002</v>
      </c>
      <c r="J47" s="52"/>
    </row>
    <row r="48" spans="1:10" x14ac:dyDescent="0.2">
      <c r="A48" s="54" t="s">
        <v>122</v>
      </c>
      <c r="B48" s="59"/>
      <c r="C48" s="42" t="s">
        <v>123</v>
      </c>
      <c r="D48" s="56" t="s">
        <v>46</v>
      </c>
      <c r="E48" s="56" t="s">
        <v>36</v>
      </c>
      <c r="F48" s="62"/>
      <c r="G48" s="45">
        <f t="shared" si="4"/>
        <v>586.90300000000002</v>
      </c>
      <c r="H48" s="45">
        <f t="shared" si="4"/>
        <v>782.90300000000002</v>
      </c>
      <c r="I48" s="45">
        <f t="shared" si="4"/>
        <v>782.90300000000002</v>
      </c>
      <c r="J48" s="52"/>
    </row>
    <row r="49" spans="1:10" x14ac:dyDescent="0.2">
      <c r="A49" s="54" t="s">
        <v>76</v>
      </c>
      <c r="B49" s="59"/>
      <c r="C49" s="42" t="s">
        <v>124</v>
      </c>
      <c r="D49" s="56" t="s">
        <v>46</v>
      </c>
      <c r="E49" s="56" t="s">
        <v>36</v>
      </c>
      <c r="F49" s="62"/>
      <c r="G49" s="45">
        <f>G50+G52+G51</f>
        <v>586.90300000000002</v>
      </c>
      <c r="H49" s="45">
        <f>H50+H52+H51</f>
        <v>782.90300000000002</v>
      </c>
      <c r="I49" s="45">
        <f>I50+I52+I51</f>
        <v>782.90300000000002</v>
      </c>
      <c r="J49" s="52"/>
    </row>
    <row r="50" spans="1:10" x14ac:dyDescent="0.2">
      <c r="A50" s="63" t="s">
        <v>144</v>
      </c>
      <c r="B50" s="59"/>
      <c r="C50" s="42" t="s">
        <v>124</v>
      </c>
      <c r="D50" s="56" t="s">
        <v>46</v>
      </c>
      <c r="E50" s="56" t="s">
        <v>36</v>
      </c>
      <c r="F50" s="42">
        <v>110</v>
      </c>
      <c r="G50" s="45">
        <f>379.183-G51-7</f>
        <v>296.86099999999999</v>
      </c>
      <c r="H50" s="45">
        <f>379.183-H51</f>
        <v>303.86099999999999</v>
      </c>
      <c r="I50" s="45">
        <f>379.183-I51</f>
        <v>303.86099999999999</v>
      </c>
      <c r="J50" s="52"/>
    </row>
    <row r="51" spans="1:10" x14ac:dyDescent="0.2">
      <c r="A51" s="63" t="s">
        <v>144</v>
      </c>
      <c r="B51" s="59"/>
      <c r="C51" s="42" t="s">
        <v>213</v>
      </c>
      <c r="D51" s="56" t="s">
        <v>46</v>
      </c>
      <c r="E51" s="56" t="s">
        <v>36</v>
      </c>
      <c r="F51" s="42">
        <v>110</v>
      </c>
      <c r="G51" s="45">
        <f>75.322</f>
        <v>75.322000000000003</v>
      </c>
      <c r="H51" s="45">
        <v>75.322000000000003</v>
      </c>
      <c r="I51" s="45">
        <v>75.322000000000003</v>
      </c>
      <c r="J51" s="52"/>
    </row>
    <row r="52" spans="1:10" ht="25.5" x14ac:dyDescent="0.2">
      <c r="A52" s="41" t="s">
        <v>83</v>
      </c>
      <c r="B52" s="59"/>
      <c r="C52" s="42" t="s">
        <v>124</v>
      </c>
      <c r="D52" s="43" t="s">
        <v>46</v>
      </c>
      <c r="E52" s="56" t="s">
        <v>36</v>
      </c>
      <c r="F52" s="56" t="s">
        <v>84</v>
      </c>
      <c r="G52" s="45">
        <f>447.72-233</f>
        <v>214.72000000000003</v>
      </c>
      <c r="H52" s="45">
        <v>403.72</v>
      </c>
      <c r="I52" s="45">
        <v>403.72</v>
      </c>
      <c r="J52" s="52"/>
    </row>
    <row r="53" spans="1:10" s="70" customFormat="1" ht="25.5" x14ac:dyDescent="0.2">
      <c r="A53" s="68" t="s">
        <v>125</v>
      </c>
      <c r="B53" s="65"/>
      <c r="C53" s="50"/>
      <c r="D53" s="39" t="s">
        <v>46</v>
      </c>
      <c r="E53" s="39" t="s">
        <v>39</v>
      </c>
      <c r="F53" s="50" t="s">
        <v>16</v>
      </c>
      <c r="G53" s="40">
        <f>G54</f>
        <v>713.69999999999982</v>
      </c>
      <c r="H53" s="40">
        <f>H54</f>
        <v>1107.8</v>
      </c>
      <c r="I53" s="40">
        <f>I54</f>
        <v>1108.309</v>
      </c>
      <c r="J53" s="69"/>
    </row>
    <row r="54" spans="1:10" ht="25.5" x14ac:dyDescent="0.2">
      <c r="A54" s="54" t="s">
        <v>120</v>
      </c>
      <c r="B54" s="59"/>
      <c r="C54" s="42" t="s">
        <v>116</v>
      </c>
      <c r="D54" s="56" t="s">
        <v>46</v>
      </c>
      <c r="E54" s="71" t="s">
        <v>39</v>
      </c>
      <c r="F54" s="62"/>
      <c r="G54" s="45">
        <f>G55+G59</f>
        <v>713.69999999999982</v>
      </c>
      <c r="H54" s="45">
        <f>H55+H59</f>
        <v>1107.8</v>
      </c>
      <c r="I54" s="45">
        <f>I55+I59</f>
        <v>1108.309</v>
      </c>
      <c r="J54" s="52"/>
    </row>
    <row r="55" spans="1:10" ht="38.25" x14ac:dyDescent="0.2">
      <c r="A55" s="60" t="s">
        <v>139</v>
      </c>
      <c r="B55" s="61"/>
      <c r="C55" s="42" t="s">
        <v>136</v>
      </c>
      <c r="D55" s="56" t="s">
        <v>46</v>
      </c>
      <c r="E55" s="56" t="s">
        <v>39</v>
      </c>
      <c r="F55" s="62" t="s">
        <v>16</v>
      </c>
      <c r="G55" s="45">
        <f>G56</f>
        <v>60.8</v>
      </c>
      <c r="H55" s="45">
        <v>115</v>
      </c>
      <c r="I55" s="45">
        <v>115</v>
      </c>
      <c r="J55" s="52"/>
    </row>
    <row r="56" spans="1:10" x14ac:dyDescent="0.2">
      <c r="A56" s="60" t="s">
        <v>129</v>
      </c>
      <c r="B56" s="59"/>
      <c r="C56" s="42" t="s">
        <v>137</v>
      </c>
      <c r="D56" s="56" t="s">
        <v>46</v>
      </c>
      <c r="E56" s="56" t="s">
        <v>39</v>
      </c>
      <c r="F56" s="62" t="s">
        <v>16</v>
      </c>
      <c r="G56" s="45">
        <f>G57</f>
        <v>60.8</v>
      </c>
      <c r="H56" s="45">
        <v>115</v>
      </c>
      <c r="I56" s="45">
        <v>115</v>
      </c>
      <c r="J56" s="52"/>
    </row>
    <row r="57" spans="1:10" x14ac:dyDescent="0.2">
      <c r="A57" s="54" t="s">
        <v>77</v>
      </c>
      <c r="B57" s="59"/>
      <c r="C57" s="42" t="s">
        <v>138</v>
      </c>
      <c r="D57" s="56" t="s">
        <v>46</v>
      </c>
      <c r="E57" s="56" t="s">
        <v>39</v>
      </c>
      <c r="F57" s="62"/>
      <c r="G57" s="45">
        <f>G58</f>
        <v>60.8</v>
      </c>
      <c r="H57" s="45">
        <f>H58</f>
        <v>115</v>
      </c>
      <c r="I57" s="45">
        <f>I58</f>
        <v>115</v>
      </c>
      <c r="J57" s="52"/>
    </row>
    <row r="58" spans="1:10" ht="25.5" x14ac:dyDescent="0.2">
      <c r="A58" s="41" t="s">
        <v>83</v>
      </c>
      <c r="B58" s="59"/>
      <c r="C58" s="42" t="s">
        <v>138</v>
      </c>
      <c r="D58" s="56" t="s">
        <v>46</v>
      </c>
      <c r="E58" s="56" t="s">
        <v>39</v>
      </c>
      <c r="F58" s="56" t="s">
        <v>84</v>
      </c>
      <c r="G58" s="45">
        <f>115-37.2-17</f>
        <v>60.8</v>
      </c>
      <c r="H58" s="45">
        <v>115</v>
      </c>
      <c r="I58" s="45">
        <v>115</v>
      </c>
      <c r="J58" s="52"/>
    </row>
    <row r="59" spans="1:10" ht="51" x14ac:dyDescent="0.2">
      <c r="A59" s="60" t="s">
        <v>200</v>
      </c>
      <c r="B59" s="61"/>
      <c r="C59" s="42" t="s">
        <v>126</v>
      </c>
      <c r="D59" s="56" t="s">
        <v>46</v>
      </c>
      <c r="E59" s="56" t="s">
        <v>39</v>
      </c>
      <c r="F59" s="62" t="s">
        <v>16</v>
      </c>
      <c r="G59" s="45">
        <f t="shared" ref="G59:I60" si="5">G60</f>
        <v>652.89999999999986</v>
      </c>
      <c r="H59" s="45">
        <f t="shared" si="5"/>
        <v>992.8</v>
      </c>
      <c r="I59" s="45">
        <f t="shared" si="5"/>
        <v>993.30899999999997</v>
      </c>
      <c r="J59" s="52"/>
    </row>
    <row r="60" spans="1:10" x14ac:dyDescent="0.2">
      <c r="A60" s="54" t="s">
        <v>129</v>
      </c>
      <c r="B60" s="59"/>
      <c r="C60" s="42" t="s">
        <v>127</v>
      </c>
      <c r="D60" s="56" t="s">
        <v>46</v>
      </c>
      <c r="E60" s="56" t="s">
        <v>39</v>
      </c>
      <c r="F60" s="62" t="s">
        <v>16</v>
      </c>
      <c r="G60" s="45">
        <f t="shared" si="5"/>
        <v>652.89999999999986</v>
      </c>
      <c r="H60" s="45">
        <f t="shared" si="5"/>
        <v>992.8</v>
      </c>
      <c r="I60" s="45">
        <f t="shared" si="5"/>
        <v>993.30899999999997</v>
      </c>
      <c r="J60" s="52"/>
    </row>
    <row r="61" spans="1:10" x14ac:dyDescent="0.2">
      <c r="A61" s="54" t="s">
        <v>77</v>
      </c>
      <c r="B61" s="59"/>
      <c r="C61" s="42" t="s">
        <v>128</v>
      </c>
      <c r="D61" s="56" t="s">
        <v>46</v>
      </c>
      <c r="E61" s="56" t="s">
        <v>39</v>
      </c>
      <c r="F61" s="62"/>
      <c r="G61" s="45">
        <f>G62+G63</f>
        <v>652.89999999999986</v>
      </c>
      <c r="H61" s="45">
        <f>H62+H63</f>
        <v>992.8</v>
      </c>
      <c r="I61" s="45">
        <f>I62+I63</f>
        <v>993.30899999999997</v>
      </c>
      <c r="J61" s="52"/>
    </row>
    <row r="62" spans="1:10" ht="25.5" x14ac:dyDescent="0.2">
      <c r="A62" s="41" t="s">
        <v>83</v>
      </c>
      <c r="B62" s="59"/>
      <c r="C62" s="42" t="s">
        <v>128</v>
      </c>
      <c r="D62" s="56" t="s">
        <v>46</v>
      </c>
      <c r="E62" s="56" t="s">
        <v>39</v>
      </c>
      <c r="F62" s="56" t="s">
        <v>84</v>
      </c>
      <c r="G62" s="45">
        <f>889.3+59-39.2+165-150-227-14.5-4.7-25</f>
        <v>652.89999999999986</v>
      </c>
      <c r="H62" s="45">
        <v>989.8</v>
      </c>
      <c r="I62" s="45">
        <v>990.30899999999997</v>
      </c>
      <c r="J62" s="52"/>
    </row>
    <row r="63" spans="1:10" x14ac:dyDescent="0.2">
      <c r="A63" s="60" t="s">
        <v>82</v>
      </c>
      <c r="B63" s="59"/>
      <c r="C63" s="42" t="s">
        <v>128</v>
      </c>
      <c r="D63" s="56" t="s">
        <v>46</v>
      </c>
      <c r="E63" s="56" t="s">
        <v>39</v>
      </c>
      <c r="F63" s="43" t="s">
        <v>216</v>
      </c>
      <c r="G63" s="45">
        <v>0</v>
      </c>
      <c r="H63" s="45">
        <v>3</v>
      </c>
      <c r="I63" s="45">
        <v>3</v>
      </c>
      <c r="J63" s="52"/>
    </row>
    <row r="64" spans="1:10" s="70" customFormat="1" x14ac:dyDescent="0.2">
      <c r="A64" s="37" t="s">
        <v>10</v>
      </c>
      <c r="B64" s="50">
        <v>911</v>
      </c>
      <c r="C64" s="50"/>
      <c r="D64" s="39" t="s">
        <v>40</v>
      </c>
      <c r="E64" s="39" t="s">
        <v>37</v>
      </c>
      <c r="F64" s="50"/>
      <c r="G64" s="40">
        <f t="shared" ref="G64:G69" si="6">G65</f>
        <v>4.7000000000000028</v>
      </c>
      <c r="H64" s="40">
        <f t="shared" ref="H64:H69" si="7">H65</f>
        <v>192</v>
      </c>
      <c r="I64" s="40">
        <f t="shared" ref="I64:I69" si="8">I65</f>
        <v>192</v>
      </c>
      <c r="J64" s="69"/>
    </row>
    <row r="65" spans="1:10" x14ac:dyDescent="0.2">
      <c r="A65" s="41" t="s">
        <v>30</v>
      </c>
      <c r="B65" s="57"/>
      <c r="C65" s="72"/>
      <c r="D65" s="73" t="s">
        <v>40</v>
      </c>
      <c r="E65" s="73" t="s">
        <v>45</v>
      </c>
      <c r="F65" s="72"/>
      <c r="G65" s="74">
        <f t="shared" si="6"/>
        <v>4.7000000000000028</v>
      </c>
      <c r="H65" s="74">
        <f t="shared" si="7"/>
        <v>192</v>
      </c>
      <c r="I65" s="74">
        <f t="shared" si="8"/>
        <v>192</v>
      </c>
      <c r="J65" s="52"/>
    </row>
    <row r="66" spans="1:10" ht="25.5" x14ac:dyDescent="0.2">
      <c r="A66" s="54" t="s">
        <v>120</v>
      </c>
      <c r="B66" s="57"/>
      <c r="C66" s="42" t="s">
        <v>170</v>
      </c>
      <c r="D66" s="73" t="s">
        <v>40</v>
      </c>
      <c r="E66" s="73" t="s">
        <v>45</v>
      </c>
      <c r="F66" s="72"/>
      <c r="G66" s="74">
        <f t="shared" si="6"/>
        <v>4.7000000000000028</v>
      </c>
      <c r="H66" s="74">
        <f t="shared" si="7"/>
        <v>192</v>
      </c>
      <c r="I66" s="74">
        <f t="shared" si="8"/>
        <v>192</v>
      </c>
      <c r="J66" s="52"/>
    </row>
    <row r="67" spans="1:10" ht="51" x14ac:dyDescent="0.2">
      <c r="A67" s="60" t="s">
        <v>130</v>
      </c>
      <c r="B67" s="59"/>
      <c r="C67" s="42" t="s">
        <v>131</v>
      </c>
      <c r="D67" s="73" t="s">
        <v>40</v>
      </c>
      <c r="E67" s="73" t="s">
        <v>45</v>
      </c>
      <c r="F67" s="73"/>
      <c r="G67" s="74">
        <f t="shared" si="6"/>
        <v>4.7000000000000028</v>
      </c>
      <c r="H67" s="74">
        <f t="shared" si="7"/>
        <v>192</v>
      </c>
      <c r="I67" s="74">
        <f t="shared" si="8"/>
        <v>192</v>
      </c>
      <c r="J67" s="52"/>
    </row>
    <row r="68" spans="1:10" ht="25.5" x14ac:dyDescent="0.2">
      <c r="A68" s="54" t="s">
        <v>134</v>
      </c>
      <c r="B68" s="59"/>
      <c r="C68" s="42" t="s">
        <v>132</v>
      </c>
      <c r="D68" s="73" t="s">
        <v>40</v>
      </c>
      <c r="E68" s="73" t="s">
        <v>45</v>
      </c>
      <c r="F68" s="73"/>
      <c r="G68" s="74">
        <f t="shared" si="6"/>
        <v>4.7000000000000028</v>
      </c>
      <c r="H68" s="74">
        <f t="shared" si="7"/>
        <v>192</v>
      </c>
      <c r="I68" s="74">
        <f t="shared" si="8"/>
        <v>192</v>
      </c>
      <c r="J68" s="52"/>
    </row>
    <row r="69" spans="1:10" x14ac:dyDescent="0.2">
      <c r="A69" s="41" t="s">
        <v>11</v>
      </c>
      <c r="B69" s="59"/>
      <c r="C69" s="42" t="s">
        <v>133</v>
      </c>
      <c r="D69" s="73" t="s">
        <v>40</v>
      </c>
      <c r="E69" s="73" t="s">
        <v>45</v>
      </c>
      <c r="F69" s="73"/>
      <c r="G69" s="74">
        <f t="shared" si="6"/>
        <v>4.7000000000000028</v>
      </c>
      <c r="H69" s="74">
        <f t="shared" si="7"/>
        <v>192</v>
      </c>
      <c r="I69" s="74">
        <f t="shared" si="8"/>
        <v>192</v>
      </c>
      <c r="J69" s="52"/>
    </row>
    <row r="70" spans="1:10" ht="25.5" x14ac:dyDescent="0.2">
      <c r="A70" s="41" t="s">
        <v>83</v>
      </c>
      <c r="B70" s="75"/>
      <c r="C70" s="42" t="s">
        <v>133</v>
      </c>
      <c r="D70" s="73" t="s">
        <v>40</v>
      </c>
      <c r="E70" s="73" t="s">
        <v>45</v>
      </c>
      <c r="F70" s="56" t="s">
        <v>84</v>
      </c>
      <c r="G70" s="45">
        <f>162-70-87.3</f>
        <v>4.7000000000000028</v>
      </c>
      <c r="H70" s="45">
        <v>192</v>
      </c>
      <c r="I70" s="45">
        <v>192</v>
      </c>
      <c r="J70" s="52"/>
    </row>
    <row r="71" spans="1:10" ht="38.25" x14ac:dyDescent="0.2">
      <c r="A71" s="54" t="s">
        <v>114</v>
      </c>
      <c r="B71" s="55"/>
      <c r="C71" s="64" t="s">
        <v>146</v>
      </c>
      <c r="D71" s="64" t="s">
        <v>39</v>
      </c>
      <c r="E71" s="64" t="s">
        <v>43</v>
      </c>
      <c r="F71" s="64"/>
      <c r="G71" s="40">
        <f t="shared" ref="G71:I72" si="9">G72</f>
        <v>3389.328</v>
      </c>
      <c r="H71" s="40">
        <f t="shared" si="9"/>
        <v>2400</v>
      </c>
      <c r="I71" s="40">
        <f t="shared" si="9"/>
        <v>2400</v>
      </c>
      <c r="J71" s="52"/>
    </row>
    <row r="72" spans="1:10" x14ac:dyDescent="0.2">
      <c r="A72" s="37" t="s">
        <v>21</v>
      </c>
      <c r="B72" s="50">
        <v>911</v>
      </c>
      <c r="C72" s="39"/>
      <c r="D72" s="39" t="s">
        <v>39</v>
      </c>
      <c r="E72" s="39" t="s">
        <v>37</v>
      </c>
      <c r="F72" s="39"/>
      <c r="G72" s="40">
        <f t="shared" si="9"/>
        <v>3389.328</v>
      </c>
      <c r="H72" s="40">
        <f t="shared" si="9"/>
        <v>2400</v>
      </c>
      <c r="I72" s="40">
        <f t="shared" si="9"/>
        <v>2400</v>
      </c>
      <c r="J72" s="52"/>
    </row>
    <row r="73" spans="1:10" ht="15.75" x14ac:dyDescent="0.25">
      <c r="A73" s="7" t="s">
        <v>69</v>
      </c>
      <c r="B73" s="8"/>
      <c r="C73" s="44"/>
      <c r="D73" s="8" t="s">
        <v>39</v>
      </c>
      <c r="E73" s="8" t="s">
        <v>43</v>
      </c>
      <c r="F73" s="44"/>
      <c r="G73" s="76">
        <f>G74+G78+G84+G88</f>
        <v>3389.328</v>
      </c>
      <c r="H73" s="76">
        <f>H74+H78+H84</f>
        <v>2400</v>
      </c>
      <c r="I73" s="76">
        <f>I74+I78+I84</f>
        <v>2400</v>
      </c>
      <c r="J73" s="52"/>
    </row>
    <row r="74" spans="1:10" ht="25.5" x14ac:dyDescent="0.2">
      <c r="A74" s="54" t="s">
        <v>231</v>
      </c>
      <c r="B74" s="55"/>
      <c r="C74" s="64" t="s">
        <v>147</v>
      </c>
      <c r="D74" s="64" t="s">
        <v>39</v>
      </c>
      <c r="E74" s="64" t="s">
        <v>43</v>
      </c>
      <c r="F74" s="64"/>
      <c r="G74" s="77">
        <f t="shared" ref="G74:I76" si="10">G75</f>
        <v>620</v>
      </c>
      <c r="H74" s="77">
        <f t="shared" si="10"/>
        <v>620</v>
      </c>
      <c r="I74" s="77">
        <f t="shared" si="10"/>
        <v>620</v>
      </c>
      <c r="J74" s="52"/>
    </row>
    <row r="75" spans="1:10" x14ac:dyDescent="0.2">
      <c r="A75" s="60" t="s">
        <v>232</v>
      </c>
      <c r="B75" s="55"/>
      <c r="C75" s="64" t="s">
        <v>148</v>
      </c>
      <c r="D75" s="64" t="s">
        <v>39</v>
      </c>
      <c r="E75" s="64" t="s">
        <v>43</v>
      </c>
      <c r="F75" s="64"/>
      <c r="G75" s="77">
        <f t="shared" si="10"/>
        <v>620</v>
      </c>
      <c r="H75" s="77">
        <f t="shared" si="10"/>
        <v>620</v>
      </c>
      <c r="I75" s="77">
        <f t="shared" si="10"/>
        <v>620</v>
      </c>
      <c r="J75" s="52"/>
    </row>
    <row r="76" spans="1:10" ht="38.25" x14ac:dyDescent="0.2">
      <c r="A76" s="60" t="s">
        <v>178</v>
      </c>
      <c r="B76" s="55"/>
      <c r="C76" s="64" t="s">
        <v>149</v>
      </c>
      <c r="D76" s="64" t="s">
        <v>39</v>
      </c>
      <c r="E76" s="64" t="s">
        <v>43</v>
      </c>
      <c r="F76" s="64"/>
      <c r="G76" s="77">
        <f t="shared" si="10"/>
        <v>620</v>
      </c>
      <c r="H76" s="77">
        <f t="shared" si="10"/>
        <v>620</v>
      </c>
      <c r="I76" s="77">
        <f t="shared" si="10"/>
        <v>620</v>
      </c>
      <c r="J76" s="52"/>
    </row>
    <row r="77" spans="1:10" ht="25.5" x14ac:dyDescent="0.2">
      <c r="A77" s="41" t="s">
        <v>83</v>
      </c>
      <c r="B77" s="42"/>
      <c r="C77" s="64" t="s">
        <v>149</v>
      </c>
      <c r="D77" s="64" t="s">
        <v>39</v>
      </c>
      <c r="E77" s="64" t="s">
        <v>43</v>
      </c>
      <c r="F77" s="44" t="s">
        <v>84</v>
      </c>
      <c r="G77" s="77">
        <v>620</v>
      </c>
      <c r="H77" s="77">
        <v>620</v>
      </c>
      <c r="I77" s="77">
        <v>620</v>
      </c>
      <c r="J77" s="52"/>
    </row>
    <row r="78" spans="1:10" ht="25.5" x14ac:dyDescent="0.2">
      <c r="A78" s="54" t="s">
        <v>233</v>
      </c>
      <c r="B78" s="42"/>
      <c r="C78" s="64" t="s">
        <v>150</v>
      </c>
      <c r="D78" s="64" t="s">
        <v>39</v>
      </c>
      <c r="E78" s="64" t="s">
        <v>43</v>
      </c>
      <c r="F78" s="44"/>
      <c r="G78" s="77">
        <f t="shared" ref="G78:I80" si="11">G79</f>
        <v>1722.9279999999999</v>
      </c>
      <c r="H78" s="77">
        <f t="shared" si="11"/>
        <v>1720</v>
      </c>
      <c r="I78" s="77">
        <f t="shared" si="11"/>
        <v>1720</v>
      </c>
      <c r="J78" s="52"/>
    </row>
    <row r="79" spans="1:10" ht="51" x14ac:dyDescent="0.2">
      <c r="A79" s="60" t="s">
        <v>234</v>
      </c>
      <c r="B79" s="42"/>
      <c r="C79" s="64" t="s">
        <v>151</v>
      </c>
      <c r="D79" s="64" t="s">
        <v>39</v>
      </c>
      <c r="E79" s="64" t="s">
        <v>43</v>
      </c>
      <c r="F79" s="44"/>
      <c r="G79" s="77">
        <f t="shared" si="11"/>
        <v>1722.9279999999999</v>
      </c>
      <c r="H79" s="77">
        <f t="shared" si="11"/>
        <v>1720</v>
      </c>
      <c r="I79" s="77">
        <f t="shared" si="11"/>
        <v>1720</v>
      </c>
      <c r="J79" s="52"/>
    </row>
    <row r="80" spans="1:10" ht="55.5" customHeight="1" x14ac:dyDescent="0.2">
      <c r="A80" s="60" t="s">
        <v>235</v>
      </c>
      <c r="B80" s="55"/>
      <c r="C80" s="64" t="s">
        <v>152</v>
      </c>
      <c r="D80" s="64" t="s">
        <v>39</v>
      </c>
      <c r="E80" s="64" t="s">
        <v>43</v>
      </c>
      <c r="F80" s="64"/>
      <c r="G80" s="77">
        <f>G81+G83</f>
        <v>1722.9279999999999</v>
      </c>
      <c r="H80" s="77">
        <f t="shared" si="11"/>
        <v>1720</v>
      </c>
      <c r="I80" s="77">
        <f t="shared" si="11"/>
        <v>1720</v>
      </c>
      <c r="J80" s="52"/>
    </row>
    <row r="81" spans="1:10" ht="25.5" x14ac:dyDescent="0.2">
      <c r="A81" s="41" t="s">
        <v>83</v>
      </c>
      <c r="B81" s="42"/>
      <c r="C81" s="64" t="s">
        <v>152</v>
      </c>
      <c r="D81" s="64" t="s">
        <v>39</v>
      </c>
      <c r="E81" s="64" t="s">
        <v>43</v>
      </c>
      <c r="F81" s="44" t="s">
        <v>84</v>
      </c>
      <c r="G81" s="77">
        <f>'6'!G113</f>
        <v>1719.4279999999999</v>
      </c>
      <c r="H81" s="77">
        <v>1720</v>
      </c>
      <c r="I81" s="77">
        <v>1720</v>
      </c>
      <c r="J81" s="52"/>
    </row>
    <row r="82" spans="1:10" ht="51.75" customHeight="1" x14ac:dyDescent="0.2">
      <c r="A82" s="60" t="s">
        <v>235</v>
      </c>
      <c r="B82" s="42"/>
      <c r="C82" s="64" t="s">
        <v>152</v>
      </c>
      <c r="D82" s="64" t="s">
        <v>39</v>
      </c>
      <c r="E82" s="64" t="s">
        <v>43</v>
      </c>
      <c r="F82" s="44"/>
      <c r="G82" s="77">
        <f>G83</f>
        <v>3.5</v>
      </c>
      <c r="H82" s="77"/>
      <c r="I82" s="77"/>
      <c r="J82" s="52"/>
    </row>
    <row r="83" spans="1:10" x14ac:dyDescent="0.2">
      <c r="A83" s="60" t="s">
        <v>82</v>
      </c>
      <c r="B83" s="42"/>
      <c r="C83" s="64" t="s">
        <v>152</v>
      </c>
      <c r="D83" s="64" t="s">
        <v>39</v>
      </c>
      <c r="E83" s="64" t="s">
        <v>43</v>
      </c>
      <c r="F83" s="43" t="s">
        <v>216</v>
      </c>
      <c r="G83" s="77">
        <v>3.5</v>
      </c>
      <c r="H83" s="77"/>
      <c r="I83" s="77"/>
      <c r="J83" s="52"/>
    </row>
    <row r="84" spans="1:10" x14ac:dyDescent="0.2">
      <c r="A84" s="54" t="s">
        <v>163</v>
      </c>
      <c r="B84" s="55"/>
      <c r="C84" s="64" t="s">
        <v>160</v>
      </c>
      <c r="D84" s="64" t="s">
        <v>39</v>
      </c>
      <c r="E84" s="64" t="s">
        <v>43</v>
      </c>
      <c r="F84" s="64"/>
      <c r="G84" s="77">
        <f t="shared" ref="G84:I86" si="12">G85</f>
        <v>60</v>
      </c>
      <c r="H84" s="77">
        <f t="shared" si="12"/>
        <v>60</v>
      </c>
      <c r="I84" s="77">
        <f t="shared" si="12"/>
        <v>60</v>
      </c>
      <c r="J84" s="52"/>
    </row>
    <row r="85" spans="1:10" ht="25.5" x14ac:dyDescent="0.2">
      <c r="A85" s="60" t="s">
        <v>162</v>
      </c>
      <c r="B85" s="55"/>
      <c r="C85" s="64" t="s">
        <v>161</v>
      </c>
      <c r="D85" s="64" t="s">
        <v>39</v>
      </c>
      <c r="E85" s="64" t="s">
        <v>43</v>
      </c>
      <c r="F85" s="64"/>
      <c r="G85" s="77">
        <f t="shared" si="12"/>
        <v>60</v>
      </c>
      <c r="H85" s="77">
        <f t="shared" si="12"/>
        <v>60</v>
      </c>
      <c r="I85" s="77">
        <f t="shared" si="12"/>
        <v>60</v>
      </c>
      <c r="J85" s="52"/>
    </row>
    <row r="86" spans="1:10" ht="38.25" x14ac:dyDescent="0.2">
      <c r="A86" s="60" t="s">
        <v>178</v>
      </c>
      <c r="B86" s="55"/>
      <c r="C86" s="64" t="s">
        <v>159</v>
      </c>
      <c r="D86" s="64" t="s">
        <v>39</v>
      </c>
      <c r="E86" s="64" t="s">
        <v>43</v>
      </c>
      <c r="F86" s="64"/>
      <c r="G86" s="77">
        <f t="shared" si="12"/>
        <v>60</v>
      </c>
      <c r="H86" s="77">
        <f t="shared" si="12"/>
        <v>60</v>
      </c>
      <c r="I86" s="77">
        <f t="shared" si="12"/>
        <v>60</v>
      </c>
      <c r="J86" s="52"/>
    </row>
    <row r="87" spans="1:10" ht="25.5" x14ac:dyDescent="0.2">
      <c r="A87" s="41" t="s">
        <v>83</v>
      </c>
      <c r="B87" s="42"/>
      <c r="C87" s="64" t="s">
        <v>159</v>
      </c>
      <c r="D87" s="64" t="s">
        <v>39</v>
      </c>
      <c r="E87" s="64" t="s">
        <v>43</v>
      </c>
      <c r="F87" s="44" t="s">
        <v>84</v>
      </c>
      <c r="G87" s="77">
        <v>60</v>
      </c>
      <c r="H87" s="77">
        <v>60</v>
      </c>
      <c r="I87" s="77">
        <v>60</v>
      </c>
      <c r="J87" s="52"/>
    </row>
    <row r="88" spans="1:10" ht="25.5" x14ac:dyDescent="0.2">
      <c r="A88" s="78" t="s">
        <v>208</v>
      </c>
      <c r="B88" s="42"/>
      <c r="C88" s="64" t="s">
        <v>205</v>
      </c>
      <c r="D88" s="64" t="s">
        <v>39</v>
      </c>
      <c r="E88" s="64" t="s">
        <v>43</v>
      </c>
      <c r="F88" s="44"/>
      <c r="G88" s="77">
        <f>G89</f>
        <v>986.4</v>
      </c>
      <c r="H88" s="77">
        <f>H89</f>
        <v>0</v>
      </c>
      <c r="I88" s="77">
        <f>I89</f>
        <v>0</v>
      </c>
      <c r="J88" s="52"/>
    </row>
    <row r="89" spans="1:10" ht="25.5" x14ac:dyDescent="0.2">
      <c r="A89" s="78" t="s">
        <v>209</v>
      </c>
      <c r="B89" s="42"/>
      <c r="C89" s="64" t="s">
        <v>206</v>
      </c>
      <c r="D89" s="64" t="s">
        <v>39</v>
      </c>
      <c r="E89" s="64" t="s">
        <v>43</v>
      </c>
      <c r="F89" s="44"/>
      <c r="G89" s="77">
        <f>G90+G92</f>
        <v>986.4</v>
      </c>
      <c r="H89" s="77">
        <f>H90+H92</f>
        <v>0</v>
      </c>
      <c r="I89" s="77">
        <f>I90+I92</f>
        <v>0</v>
      </c>
      <c r="J89" s="52"/>
    </row>
    <row r="90" spans="1:10" ht="25.5" x14ac:dyDescent="0.2">
      <c r="A90" s="78" t="s">
        <v>210</v>
      </c>
      <c r="B90" s="42"/>
      <c r="C90" s="64" t="s">
        <v>207</v>
      </c>
      <c r="D90" s="64" t="s">
        <v>39</v>
      </c>
      <c r="E90" s="64" t="s">
        <v>43</v>
      </c>
      <c r="F90" s="44"/>
      <c r="G90" s="77">
        <f>G91</f>
        <v>986.4</v>
      </c>
      <c r="H90" s="77">
        <f>H91</f>
        <v>0</v>
      </c>
      <c r="I90" s="77">
        <f>I91</f>
        <v>0</v>
      </c>
      <c r="J90" s="52"/>
    </row>
    <row r="91" spans="1:10" ht="25.5" x14ac:dyDescent="0.2">
      <c r="A91" s="53" t="s">
        <v>83</v>
      </c>
      <c r="B91" s="42"/>
      <c r="C91" s="64" t="s">
        <v>207</v>
      </c>
      <c r="D91" s="64" t="s">
        <v>39</v>
      </c>
      <c r="E91" s="64" t="s">
        <v>43</v>
      </c>
      <c r="F91" s="44" t="s">
        <v>84</v>
      </c>
      <c r="G91" s="77">
        <v>986.4</v>
      </c>
      <c r="H91" s="77"/>
      <c r="I91" s="77"/>
      <c r="J91" s="52"/>
    </row>
    <row r="92" spans="1:10" ht="38.25" x14ac:dyDescent="0.2">
      <c r="A92" s="53" t="s">
        <v>218</v>
      </c>
      <c r="B92" s="42"/>
      <c r="C92" s="64" t="s">
        <v>217</v>
      </c>
      <c r="D92" s="64" t="s">
        <v>39</v>
      </c>
      <c r="E92" s="64" t="s">
        <v>43</v>
      </c>
      <c r="F92" s="44"/>
      <c r="G92" s="77">
        <f>G93</f>
        <v>0</v>
      </c>
      <c r="H92" s="77">
        <f>H93</f>
        <v>0</v>
      </c>
      <c r="I92" s="77">
        <f>I93</f>
        <v>0</v>
      </c>
      <c r="J92" s="52"/>
    </row>
    <row r="93" spans="1:10" ht="25.5" x14ac:dyDescent="0.2">
      <c r="A93" s="53" t="s">
        <v>83</v>
      </c>
      <c r="B93" s="42"/>
      <c r="C93" s="64" t="s">
        <v>217</v>
      </c>
      <c r="D93" s="64" t="s">
        <v>39</v>
      </c>
      <c r="E93" s="64" t="s">
        <v>43</v>
      </c>
      <c r="F93" s="44" t="s">
        <v>84</v>
      </c>
      <c r="G93" s="77"/>
      <c r="H93" s="77"/>
      <c r="I93" s="77"/>
      <c r="J93" s="52"/>
    </row>
    <row r="94" spans="1:10" s="70" customFormat="1" ht="38.25" x14ac:dyDescent="0.2">
      <c r="A94" s="65" t="s">
        <v>255</v>
      </c>
      <c r="B94" s="38"/>
      <c r="C94" s="79" t="s">
        <v>251</v>
      </c>
      <c r="D94" s="79" t="s">
        <v>39</v>
      </c>
      <c r="E94" s="79" t="s">
        <v>43</v>
      </c>
      <c r="F94" s="39"/>
      <c r="G94" s="80">
        <f>G95</f>
        <v>1166.3</v>
      </c>
      <c r="H94" s="80"/>
      <c r="I94" s="80"/>
      <c r="J94" s="69"/>
    </row>
    <row r="95" spans="1:10" hidden="1" x14ac:dyDescent="0.2">
      <c r="A95" s="81"/>
      <c r="B95" s="42"/>
      <c r="C95" s="64" t="s">
        <v>251</v>
      </c>
      <c r="D95" s="64" t="s">
        <v>39</v>
      </c>
      <c r="E95" s="64" t="s">
        <v>43</v>
      </c>
      <c r="F95" s="43"/>
      <c r="G95" s="77">
        <f>G96</f>
        <v>1166.3</v>
      </c>
      <c r="H95" s="77"/>
      <c r="I95" s="77"/>
      <c r="J95" s="52"/>
    </row>
    <row r="96" spans="1:10" ht="38.25" x14ac:dyDescent="0.2">
      <c r="A96" s="53" t="s">
        <v>255</v>
      </c>
      <c r="B96" s="55"/>
      <c r="C96" s="64" t="s">
        <v>251</v>
      </c>
      <c r="D96" s="64" t="s">
        <v>39</v>
      </c>
      <c r="E96" s="64" t="s">
        <v>43</v>
      </c>
      <c r="F96" s="64"/>
      <c r="G96" s="77">
        <f>G97</f>
        <v>1166.3</v>
      </c>
      <c r="H96" s="77"/>
      <c r="I96" s="77"/>
      <c r="J96" s="52"/>
    </row>
    <row r="97" spans="1:10" ht="24" x14ac:dyDescent="0.2">
      <c r="A97" s="82" t="s">
        <v>209</v>
      </c>
      <c r="B97" s="55"/>
      <c r="C97" s="64" t="s">
        <v>252</v>
      </c>
      <c r="D97" s="64" t="s">
        <v>39</v>
      </c>
      <c r="E97" s="64" t="s">
        <v>43</v>
      </c>
      <c r="F97" s="64"/>
      <c r="G97" s="77">
        <f>G100+G98</f>
        <v>1166.3</v>
      </c>
      <c r="H97" s="77"/>
      <c r="I97" s="77"/>
      <c r="J97" s="52"/>
    </row>
    <row r="98" spans="1:10" ht="24" x14ac:dyDescent="0.2">
      <c r="A98" s="83" t="s">
        <v>267</v>
      </c>
      <c r="B98" s="55"/>
      <c r="C98" s="42" t="s">
        <v>268</v>
      </c>
      <c r="D98" s="64" t="s">
        <v>39</v>
      </c>
      <c r="E98" s="64" t="s">
        <v>43</v>
      </c>
      <c r="F98" s="64"/>
      <c r="G98" s="84">
        <f>G99</f>
        <v>1060.3</v>
      </c>
      <c r="H98" s="77"/>
      <c r="I98" s="77"/>
      <c r="J98" s="52"/>
    </row>
    <row r="99" spans="1:10" ht="24" x14ac:dyDescent="0.2">
      <c r="A99" s="83" t="s">
        <v>83</v>
      </c>
      <c r="B99" s="55"/>
      <c r="C99" s="42" t="s">
        <v>268</v>
      </c>
      <c r="D99" s="64" t="s">
        <v>39</v>
      </c>
      <c r="E99" s="64" t="s">
        <v>43</v>
      </c>
      <c r="F99" s="44" t="s">
        <v>84</v>
      </c>
      <c r="G99" s="84">
        <v>1060.3</v>
      </c>
      <c r="H99" s="77"/>
      <c r="I99" s="77"/>
      <c r="J99" s="52"/>
    </row>
    <row r="100" spans="1:10" ht="51" x14ac:dyDescent="0.2">
      <c r="A100" s="60" t="s">
        <v>253</v>
      </c>
      <c r="B100" s="55"/>
      <c r="C100" s="64" t="s">
        <v>254</v>
      </c>
      <c r="D100" s="64" t="s">
        <v>39</v>
      </c>
      <c r="E100" s="64" t="s">
        <v>43</v>
      </c>
      <c r="F100" s="64"/>
      <c r="G100" s="77">
        <f>G101</f>
        <v>106</v>
      </c>
      <c r="H100" s="77"/>
      <c r="I100" s="77"/>
      <c r="J100" s="52"/>
    </row>
    <row r="101" spans="1:10" ht="25.5" x14ac:dyDescent="0.2">
      <c r="A101" s="41" t="s">
        <v>83</v>
      </c>
      <c r="B101" s="42"/>
      <c r="C101" s="64" t="s">
        <v>254</v>
      </c>
      <c r="D101" s="64" t="s">
        <v>39</v>
      </c>
      <c r="E101" s="64" t="s">
        <v>43</v>
      </c>
      <c r="F101" s="44" t="s">
        <v>84</v>
      </c>
      <c r="G101" s="77">
        <v>106</v>
      </c>
      <c r="H101" s="77"/>
      <c r="I101" s="77"/>
      <c r="J101" s="52"/>
    </row>
    <row r="102" spans="1:10" x14ac:dyDescent="0.2">
      <c r="A102" s="37" t="s">
        <v>8</v>
      </c>
      <c r="B102" s="50">
        <v>911</v>
      </c>
      <c r="C102" s="39"/>
      <c r="D102" s="39" t="s">
        <v>45</v>
      </c>
      <c r="E102" s="39" t="s">
        <v>37</v>
      </c>
      <c r="F102" s="39"/>
      <c r="G102" s="40">
        <f>G103+G111+G120</f>
        <v>4750.223</v>
      </c>
      <c r="H102" s="40">
        <f>H103+H111+H120</f>
        <v>5765.9210000000003</v>
      </c>
      <c r="I102" s="40">
        <f>I103+I111+I120</f>
        <v>6253.5209999999997</v>
      </c>
      <c r="J102" s="52"/>
    </row>
    <row r="103" spans="1:10" x14ac:dyDescent="0.2">
      <c r="A103" s="41" t="s">
        <v>22</v>
      </c>
      <c r="B103" s="85"/>
      <c r="C103" s="56"/>
      <c r="D103" s="86" t="s">
        <v>45</v>
      </c>
      <c r="E103" s="86" t="s">
        <v>36</v>
      </c>
      <c r="F103" s="56"/>
      <c r="G103" s="40">
        <f t="shared" ref="G103:I105" si="13">G104</f>
        <v>317.803</v>
      </c>
      <c r="H103" s="40">
        <f t="shared" si="13"/>
        <v>312.02099999999996</v>
      </c>
      <c r="I103" s="40">
        <f t="shared" si="13"/>
        <v>312.02099999999996</v>
      </c>
      <c r="J103" s="69"/>
    </row>
    <row r="104" spans="1:10" ht="38.25" x14ac:dyDescent="0.2">
      <c r="A104" s="41" t="s">
        <v>153</v>
      </c>
      <c r="B104" s="85"/>
      <c r="C104" s="43" t="s">
        <v>182</v>
      </c>
      <c r="D104" s="44" t="s">
        <v>45</v>
      </c>
      <c r="E104" s="44" t="s">
        <v>36</v>
      </c>
      <c r="F104" s="56"/>
      <c r="G104" s="45">
        <f t="shared" si="13"/>
        <v>317.803</v>
      </c>
      <c r="H104" s="45">
        <f t="shared" si="13"/>
        <v>312.02099999999996</v>
      </c>
      <c r="I104" s="45">
        <f t="shared" si="13"/>
        <v>312.02099999999996</v>
      </c>
      <c r="J104" s="52"/>
    </row>
    <row r="105" spans="1:10" ht="38.25" x14ac:dyDescent="0.2">
      <c r="A105" s="41" t="s">
        <v>153</v>
      </c>
      <c r="B105" s="85"/>
      <c r="C105" s="43" t="s">
        <v>183</v>
      </c>
      <c r="D105" s="44" t="s">
        <v>45</v>
      </c>
      <c r="E105" s="44" t="s">
        <v>36</v>
      </c>
      <c r="F105" s="56"/>
      <c r="G105" s="45">
        <f t="shared" si="13"/>
        <v>317.803</v>
      </c>
      <c r="H105" s="45">
        <f t="shared" si="13"/>
        <v>312.02099999999996</v>
      </c>
      <c r="I105" s="45">
        <f t="shared" si="13"/>
        <v>312.02099999999996</v>
      </c>
      <c r="J105" s="52"/>
    </row>
    <row r="106" spans="1:10" ht="25.5" x14ac:dyDescent="0.2">
      <c r="A106" s="41" t="s">
        <v>247</v>
      </c>
      <c r="B106" s="85"/>
      <c r="C106" s="43" t="s">
        <v>184</v>
      </c>
      <c r="D106" s="44" t="s">
        <v>45</v>
      </c>
      <c r="E106" s="44" t="s">
        <v>36</v>
      </c>
      <c r="F106" s="56"/>
      <c r="G106" s="45">
        <f>G107+G109</f>
        <v>317.803</v>
      </c>
      <c r="H106" s="45">
        <f>H107+H109</f>
        <v>312.02099999999996</v>
      </c>
      <c r="I106" s="45">
        <f>I107+I109</f>
        <v>312.02099999999996</v>
      </c>
      <c r="J106" s="52"/>
    </row>
    <row r="107" spans="1:10" x14ac:dyDescent="0.2">
      <c r="A107" s="41" t="s">
        <v>113</v>
      </c>
      <c r="B107" s="85"/>
      <c r="C107" s="43" t="s">
        <v>185</v>
      </c>
      <c r="D107" s="44" t="s">
        <v>45</v>
      </c>
      <c r="E107" s="44" t="s">
        <v>36</v>
      </c>
      <c r="F107" s="56"/>
      <c r="G107" s="45">
        <f>G108</f>
        <v>166.82099999999997</v>
      </c>
      <c r="H107" s="45">
        <f>H108</f>
        <v>212.02099999999999</v>
      </c>
      <c r="I107" s="45">
        <f>I108</f>
        <v>212.02099999999999</v>
      </c>
      <c r="J107" s="52"/>
    </row>
    <row r="108" spans="1:10" ht="25.5" x14ac:dyDescent="0.2">
      <c r="A108" s="41" t="s">
        <v>83</v>
      </c>
      <c r="B108" s="85"/>
      <c r="C108" s="43" t="s">
        <v>185</v>
      </c>
      <c r="D108" s="44" t="s">
        <v>45</v>
      </c>
      <c r="E108" s="44" t="s">
        <v>36</v>
      </c>
      <c r="F108" s="44" t="s">
        <v>84</v>
      </c>
      <c r="G108" s="45">
        <f>212.021-45.2</f>
        <v>166.82099999999997</v>
      </c>
      <c r="H108" s="45">
        <v>212.02099999999999</v>
      </c>
      <c r="I108" s="45">
        <v>212.02099999999999</v>
      </c>
      <c r="J108" s="52"/>
    </row>
    <row r="109" spans="1:10" x14ac:dyDescent="0.2">
      <c r="A109" s="41" t="s">
        <v>240</v>
      </c>
      <c r="B109" s="85"/>
      <c r="C109" s="43" t="s">
        <v>241</v>
      </c>
      <c r="D109" s="44" t="s">
        <v>45</v>
      </c>
      <c r="E109" s="44" t="s">
        <v>36</v>
      </c>
      <c r="F109" s="44"/>
      <c r="G109" s="45">
        <f>G110</f>
        <v>150.98200000000003</v>
      </c>
      <c r="H109" s="45">
        <f>H110</f>
        <v>100</v>
      </c>
      <c r="I109" s="45">
        <f>I110</f>
        <v>100</v>
      </c>
      <c r="J109" s="52"/>
    </row>
    <row r="110" spans="1:10" ht="25.5" x14ac:dyDescent="0.2">
      <c r="A110" s="41" t="s">
        <v>83</v>
      </c>
      <c r="B110" s="85"/>
      <c r="C110" s="43" t="s">
        <v>241</v>
      </c>
      <c r="D110" s="44" t="s">
        <v>45</v>
      </c>
      <c r="E110" s="44" t="s">
        <v>36</v>
      </c>
      <c r="F110" s="44" t="s">
        <v>84</v>
      </c>
      <c r="G110" s="45">
        <f>118.182+100-67.2</f>
        <v>150.98200000000003</v>
      </c>
      <c r="H110" s="45">
        <v>100</v>
      </c>
      <c r="I110" s="45">
        <v>100</v>
      </c>
      <c r="J110" s="52"/>
    </row>
    <row r="111" spans="1:10" x14ac:dyDescent="0.2">
      <c r="A111" s="41" t="s">
        <v>9</v>
      </c>
      <c r="B111" s="85"/>
      <c r="C111" s="56"/>
      <c r="D111" s="86" t="s">
        <v>45</v>
      </c>
      <c r="E111" s="86" t="s">
        <v>42</v>
      </c>
      <c r="F111" s="56"/>
      <c r="G111" s="45">
        <f t="shared" ref="G111:I112" si="14">G112</f>
        <v>713.5</v>
      </c>
      <c r="H111" s="45">
        <f t="shared" si="14"/>
        <v>1587.4</v>
      </c>
      <c r="I111" s="45">
        <f t="shared" si="14"/>
        <v>2175</v>
      </c>
      <c r="J111" s="52"/>
    </row>
    <row r="112" spans="1:10" ht="38.25" x14ac:dyDescent="0.2">
      <c r="A112" s="41" t="s">
        <v>153</v>
      </c>
      <c r="B112" s="85"/>
      <c r="C112" s="42" t="s">
        <v>182</v>
      </c>
      <c r="D112" s="56" t="s">
        <v>45</v>
      </c>
      <c r="E112" s="56" t="s">
        <v>42</v>
      </c>
      <c r="F112" s="56"/>
      <c r="G112" s="45">
        <f t="shared" si="14"/>
        <v>713.5</v>
      </c>
      <c r="H112" s="45">
        <f t="shared" si="14"/>
        <v>1587.4</v>
      </c>
      <c r="I112" s="45">
        <f t="shared" si="14"/>
        <v>2175</v>
      </c>
      <c r="J112" s="52"/>
    </row>
    <row r="113" spans="1:10" ht="38.25" x14ac:dyDescent="0.2">
      <c r="A113" s="41" t="s">
        <v>153</v>
      </c>
      <c r="B113" s="85"/>
      <c r="C113" s="42" t="s">
        <v>183</v>
      </c>
      <c r="D113" s="56" t="s">
        <v>45</v>
      </c>
      <c r="E113" s="56" t="s">
        <v>42</v>
      </c>
      <c r="F113" s="56"/>
      <c r="G113" s="45">
        <f>G114+G117</f>
        <v>713.5</v>
      </c>
      <c r="H113" s="45">
        <f>H114+H117</f>
        <v>1587.4</v>
      </c>
      <c r="I113" s="45">
        <f>I114+I117</f>
        <v>2175</v>
      </c>
      <c r="J113" s="52"/>
    </row>
    <row r="114" spans="1:10" ht="25.5" x14ac:dyDescent="0.2">
      <c r="A114" s="41" t="s">
        <v>237</v>
      </c>
      <c r="B114" s="57"/>
      <c r="C114" s="42" t="s">
        <v>186</v>
      </c>
      <c r="D114" s="56" t="s">
        <v>45</v>
      </c>
      <c r="E114" s="56" t="s">
        <v>42</v>
      </c>
      <c r="F114" s="56"/>
      <c r="G114" s="45">
        <f t="shared" ref="G114:I115" si="15">G115</f>
        <v>204.8</v>
      </c>
      <c r="H114" s="45">
        <f t="shared" si="15"/>
        <v>1487.4</v>
      </c>
      <c r="I114" s="45">
        <f t="shared" si="15"/>
        <v>2075</v>
      </c>
      <c r="J114" s="52"/>
    </row>
    <row r="115" spans="1:10" x14ac:dyDescent="0.2">
      <c r="A115" s="41" t="s">
        <v>180</v>
      </c>
      <c r="B115" s="57"/>
      <c r="C115" s="42" t="s">
        <v>187</v>
      </c>
      <c r="D115" s="56" t="s">
        <v>45</v>
      </c>
      <c r="E115" s="56" t="s">
        <v>42</v>
      </c>
      <c r="F115" s="44"/>
      <c r="G115" s="45">
        <f t="shared" si="15"/>
        <v>204.8</v>
      </c>
      <c r="H115" s="45">
        <f t="shared" si="15"/>
        <v>1487.4</v>
      </c>
      <c r="I115" s="45">
        <f t="shared" si="15"/>
        <v>2075</v>
      </c>
      <c r="J115" s="52"/>
    </row>
    <row r="116" spans="1:10" ht="25.5" x14ac:dyDescent="0.2">
      <c r="A116" s="41" t="s">
        <v>83</v>
      </c>
      <c r="B116" s="85"/>
      <c r="C116" s="42" t="s">
        <v>187</v>
      </c>
      <c r="D116" s="56" t="s">
        <v>45</v>
      </c>
      <c r="E116" s="56" t="s">
        <v>42</v>
      </c>
      <c r="F116" s="56" t="s">
        <v>84</v>
      </c>
      <c r="G116" s="1">
        <v>204.8</v>
      </c>
      <c r="H116" s="45">
        <v>1487.4</v>
      </c>
      <c r="I116" s="74">
        <v>2075</v>
      </c>
      <c r="J116" s="52"/>
    </row>
    <row r="117" spans="1:10" x14ac:dyDescent="0.2">
      <c r="A117" s="41" t="s">
        <v>158</v>
      </c>
      <c r="B117" s="85"/>
      <c r="C117" s="42" t="s">
        <v>188</v>
      </c>
      <c r="D117" s="56" t="s">
        <v>45</v>
      </c>
      <c r="E117" s="56" t="s">
        <v>42</v>
      </c>
      <c r="F117" s="56"/>
      <c r="G117" s="45">
        <f t="shared" ref="G117:I118" si="16">G118</f>
        <v>508.7</v>
      </c>
      <c r="H117" s="45">
        <f t="shared" si="16"/>
        <v>100</v>
      </c>
      <c r="I117" s="45">
        <f t="shared" si="16"/>
        <v>100</v>
      </c>
      <c r="J117" s="52"/>
    </row>
    <row r="118" spans="1:10" x14ac:dyDescent="0.2">
      <c r="A118" s="41" t="s">
        <v>181</v>
      </c>
      <c r="B118" s="85"/>
      <c r="C118" s="42" t="s">
        <v>189</v>
      </c>
      <c r="D118" s="56" t="s">
        <v>45</v>
      </c>
      <c r="E118" s="56" t="s">
        <v>42</v>
      </c>
      <c r="F118" s="56"/>
      <c r="G118" s="45">
        <f t="shared" si="16"/>
        <v>508.7</v>
      </c>
      <c r="H118" s="45">
        <f t="shared" si="16"/>
        <v>100</v>
      </c>
      <c r="I118" s="45">
        <f t="shared" si="16"/>
        <v>100</v>
      </c>
      <c r="J118" s="52"/>
    </row>
    <row r="119" spans="1:10" ht="25.5" x14ac:dyDescent="0.2">
      <c r="A119" s="41" t="s">
        <v>83</v>
      </c>
      <c r="B119" s="85"/>
      <c r="C119" s="42" t="s">
        <v>189</v>
      </c>
      <c r="D119" s="56" t="s">
        <v>45</v>
      </c>
      <c r="E119" s="56" t="s">
        <v>42</v>
      </c>
      <c r="F119" s="56" t="s">
        <v>84</v>
      </c>
      <c r="G119" s="45">
        <f>'6'!G167</f>
        <v>508.7</v>
      </c>
      <c r="H119" s="45">
        <v>100</v>
      </c>
      <c r="I119" s="45">
        <v>100</v>
      </c>
      <c r="J119" s="52"/>
    </row>
    <row r="120" spans="1:10" x14ac:dyDescent="0.2">
      <c r="A120" s="41" t="s">
        <v>23</v>
      </c>
      <c r="B120" s="85"/>
      <c r="C120" s="44"/>
      <c r="D120" s="86" t="s">
        <v>45</v>
      </c>
      <c r="E120" s="86" t="s">
        <v>38</v>
      </c>
      <c r="F120" s="44"/>
      <c r="G120" s="45">
        <f t="shared" ref="G120:I121" si="17">G121</f>
        <v>3718.9200000000005</v>
      </c>
      <c r="H120" s="45">
        <f t="shared" si="17"/>
        <v>3866.5</v>
      </c>
      <c r="I120" s="45">
        <f t="shared" si="17"/>
        <v>3766.5</v>
      </c>
      <c r="J120" s="52"/>
    </row>
    <row r="121" spans="1:10" ht="38.25" x14ac:dyDescent="0.2">
      <c r="A121" s="41" t="s">
        <v>153</v>
      </c>
      <c r="B121" s="85"/>
      <c r="C121" s="42" t="s">
        <v>182</v>
      </c>
      <c r="D121" s="56" t="s">
        <v>45</v>
      </c>
      <c r="E121" s="44" t="s">
        <v>38</v>
      </c>
      <c r="F121" s="56"/>
      <c r="G121" s="45">
        <f t="shared" si="17"/>
        <v>3718.9200000000005</v>
      </c>
      <c r="H121" s="45">
        <f t="shared" si="17"/>
        <v>3866.5</v>
      </c>
      <c r="I121" s="45">
        <f t="shared" si="17"/>
        <v>3766.5</v>
      </c>
      <c r="J121" s="52"/>
    </row>
    <row r="122" spans="1:10" ht="38.25" x14ac:dyDescent="0.2">
      <c r="A122" s="41" t="s">
        <v>153</v>
      </c>
      <c r="B122" s="85"/>
      <c r="C122" s="42" t="s">
        <v>183</v>
      </c>
      <c r="D122" s="56" t="s">
        <v>45</v>
      </c>
      <c r="E122" s="44" t="s">
        <v>38</v>
      </c>
      <c r="F122" s="56"/>
      <c r="G122" s="45">
        <f>G125+G128+G130+G133+G136</f>
        <v>3718.9200000000005</v>
      </c>
      <c r="H122" s="45">
        <f>H125+H128+H130+H133+H136</f>
        <v>3866.5</v>
      </c>
      <c r="I122" s="45">
        <f>I125+I128+I130+I133+I136</f>
        <v>3766.5</v>
      </c>
      <c r="J122" s="52"/>
    </row>
    <row r="123" spans="1:10" ht="25.5" x14ac:dyDescent="0.2">
      <c r="A123" s="41" t="s">
        <v>154</v>
      </c>
      <c r="B123" s="85"/>
      <c r="C123" s="42" t="s">
        <v>190</v>
      </c>
      <c r="D123" s="44" t="s">
        <v>45</v>
      </c>
      <c r="E123" s="44" t="s">
        <v>38</v>
      </c>
      <c r="F123" s="56"/>
      <c r="G123" s="45">
        <f t="shared" ref="G123:I124" si="18">G124</f>
        <v>3110.5200000000004</v>
      </c>
      <c r="H123" s="45">
        <f t="shared" si="18"/>
        <v>2600</v>
      </c>
      <c r="I123" s="45">
        <f t="shared" si="18"/>
        <v>2600</v>
      </c>
      <c r="J123" s="52"/>
    </row>
    <row r="124" spans="1:10" x14ac:dyDescent="0.2">
      <c r="A124" s="41" t="s">
        <v>71</v>
      </c>
      <c r="B124" s="85"/>
      <c r="C124" s="55" t="s">
        <v>191</v>
      </c>
      <c r="D124" s="44" t="s">
        <v>45</v>
      </c>
      <c r="E124" s="44" t="s">
        <v>38</v>
      </c>
      <c r="F124" s="56"/>
      <c r="G124" s="45">
        <f t="shared" si="18"/>
        <v>3110.5200000000004</v>
      </c>
      <c r="H124" s="45">
        <f t="shared" si="18"/>
        <v>2600</v>
      </c>
      <c r="I124" s="45">
        <f t="shared" si="18"/>
        <v>2600</v>
      </c>
      <c r="J124" s="52"/>
    </row>
    <row r="125" spans="1:10" ht="25.5" x14ac:dyDescent="0.2">
      <c r="A125" s="41" t="s">
        <v>83</v>
      </c>
      <c r="B125" s="59"/>
      <c r="C125" s="42" t="s">
        <v>191</v>
      </c>
      <c r="D125" s="44" t="s">
        <v>45</v>
      </c>
      <c r="E125" s="44" t="s">
        <v>38</v>
      </c>
      <c r="F125" s="56" t="s">
        <v>84</v>
      </c>
      <c r="G125" s="45">
        <f>2258.42-100+836.3+40.8+75</f>
        <v>3110.5200000000004</v>
      </c>
      <c r="H125" s="45">
        <v>2600</v>
      </c>
      <c r="I125" s="45">
        <v>2600</v>
      </c>
      <c r="J125" s="52"/>
    </row>
    <row r="126" spans="1:10" ht="25.5" x14ac:dyDescent="0.2">
      <c r="A126" s="41" t="s">
        <v>156</v>
      </c>
      <c r="B126" s="85"/>
      <c r="C126" s="42" t="s">
        <v>192</v>
      </c>
      <c r="D126" s="44" t="s">
        <v>45</v>
      </c>
      <c r="E126" s="44" t="s">
        <v>38</v>
      </c>
      <c r="F126" s="56"/>
      <c r="G126" s="45">
        <f>G127+G129</f>
        <v>419.3</v>
      </c>
      <c r="H126" s="45">
        <f>H127+H129</f>
        <v>866.5</v>
      </c>
      <c r="I126" s="45">
        <f>I127+I129</f>
        <v>866.5</v>
      </c>
      <c r="J126" s="52"/>
    </row>
    <row r="127" spans="1:10" x14ac:dyDescent="0.2">
      <c r="A127" s="41" t="s">
        <v>73</v>
      </c>
      <c r="B127" s="57"/>
      <c r="C127" s="42" t="s">
        <v>193</v>
      </c>
      <c r="D127" s="44" t="s">
        <v>45</v>
      </c>
      <c r="E127" s="44" t="s">
        <v>38</v>
      </c>
      <c r="F127" s="56"/>
      <c r="G127" s="45">
        <f>G128</f>
        <v>394.5</v>
      </c>
      <c r="H127" s="45">
        <f>H128</f>
        <v>696.5</v>
      </c>
      <c r="I127" s="45">
        <f>I128</f>
        <v>696.5</v>
      </c>
      <c r="J127" s="52"/>
    </row>
    <row r="128" spans="1:10" ht="25.5" x14ac:dyDescent="0.2">
      <c r="A128" s="41" t="s">
        <v>83</v>
      </c>
      <c r="B128" s="59"/>
      <c r="C128" s="42" t="s">
        <v>193</v>
      </c>
      <c r="D128" s="44" t="s">
        <v>45</v>
      </c>
      <c r="E128" s="44" t="s">
        <v>38</v>
      </c>
      <c r="F128" s="56" t="s">
        <v>84</v>
      </c>
      <c r="G128" s="45">
        <f>651.5-50+1-208</f>
        <v>394.5</v>
      </c>
      <c r="H128" s="45">
        <v>696.5</v>
      </c>
      <c r="I128" s="45">
        <v>696.5</v>
      </c>
      <c r="J128" s="52"/>
    </row>
    <row r="129" spans="1:10" x14ac:dyDescent="0.2">
      <c r="A129" s="41" t="s">
        <v>238</v>
      </c>
      <c r="B129" s="59"/>
      <c r="C129" s="42" t="s">
        <v>239</v>
      </c>
      <c r="D129" s="44" t="s">
        <v>45</v>
      </c>
      <c r="E129" s="44" t="s">
        <v>38</v>
      </c>
      <c r="F129" s="56"/>
      <c r="G129" s="45">
        <f>G130</f>
        <v>24.799999999999997</v>
      </c>
      <c r="H129" s="45">
        <f>H130</f>
        <v>170</v>
      </c>
      <c r="I129" s="45">
        <f>I130</f>
        <v>170</v>
      </c>
      <c r="J129" s="52"/>
    </row>
    <row r="130" spans="1:10" ht="25.5" x14ac:dyDescent="0.2">
      <c r="A130" s="41" t="s">
        <v>83</v>
      </c>
      <c r="B130" s="59"/>
      <c r="C130" s="42" t="s">
        <v>239</v>
      </c>
      <c r="D130" s="44" t="s">
        <v>45</v>
      </c>
      <c r="E130" s="44" t="s">
        <v>38</v>
      </c>
      <c r="F130" s="56" t="s">
        <v>84</v>
      </c>
      <c r="G130" s="45">
        <f>130-105.2</f>
        <v>24.799999999999997</v>
      </c>
      <c r="H130" s="45">
        <v>170</v>
      </c>
      <c r="I130" s="45">
        <v>170</v>
      </c>
      <c r="J130" s="52"/>
    </row>
    <row r="131" spans="1:10" x14ac:dyDescent="0.2">
      <c r="A131" s="41" t="s">
        <v>155</v>
      </c>
      <c r="B131" s="85"/>
      <c r="C131" s="42" t="s">
        <v>194</v>
      </c>
      <c r="D131" s="44" t="s">
        <v>45</v>
      </c>
      <c r="E131" s="44" t="s">
        <v>38</v>
      </c>
      <c r="F131" s="56"/>
      <c r="G131" s="45">
        <f t="shared" ref="G131:I132" si="19">G132</f>
        <v>75</v>
      </c>
      <c r="H131" s="45">
        <f t="shared" si="19"/>
        <v>300</v>
      </c>
      <c r="I131" s="45">
        <f t="shared" si="19"/>
        <v>200</v>
      </c>
      <c r="J131" s="52"/>
    </row>
    <row r="132" spans="1:10" x14ac:dyDescent="0.2">
      <c r="A132" s="54" t="s">
        <v>72</v>
      </c>
      <c r="B132" s="59"/>
      <c r="C132" s="42" t="s">
        <v>195</v>
      </c>
      <c r="D132" s="44" t="s">
        <v>45</v>
      </c>
      <c r="E132" s="44" t="s">
        <v>38</v>
      </c>
      <c r="F132" s="44"/>
      <c r="G132" s="45">
        <f>G133</f>
        <v>75</v>
      </c>
      <c r="H132" s="45">
        <f t="shared" si="19"/>
        <v>300</v>
      </c>
      <c r="I132" s="45">
        <f t="shared" si="19"/>
        <v>200</v>
      </c>
      <c r="J132" s="52"/>
    </row>
    <row r="133" spans="1:10" ht="25.5" x14ac:dyDescent="0.2">
      <c r="A133" s="41" t="s">
        <v>83</v>
      </c>
      <c r="B133" s="85"/>
      <c r="C133" s="42" t="s">
        <v>195</v>
      </c>
      <c r="D133" s="44" t="s">
        <v>45</v>
      </c>
      <c r="E133" s="44" t="s">
        <v>38</v>
      </c>
      <c r="F133" s="56" t="s">
        <v>84</v>
      </c>
      <c r="G133" s="45">
        <f>200-125</f>
        <v>75</v>
      </c>
      <c r="H133" s="45">
        <v>300</v>
      </c>
      <c r="I133" s="45">
        <v>200</v>
      </c>
      <c r="J133" s="52"/>
    </row>
    <row r="134" spans="1:10" x14ac:dyDescent="0.2">
      <c r="A134" s="41" t="s">
        <v>157</v>
      </c>
      <c r="B134" s="85"/>
      <c r="C134" s="42" t="s">
        <v>196</v>
      </c>
      <c r="D134" s="44" t="s">
        <v>45</v>
      </c>
      <c r="E134" s="44" t="s">
        <v>38</v>
      </c>
      <c r="F134" s="56"/>
      <c r="G134" s="45">
        <f t="shared" ref="G134:I135" si="20">G135</f>
        <v>114.10000000000002</v>
      </c>
      <c r="H134" s="45">
        <f t="shared" si="20"/>
        <v>100</v>
      </c>
      <c r="I134" s="45">
        <f t="shared" si="20"/>
        <v>100</v>
      </c>
      <c r="J134" s="52"/>
    </row>
    <row r="135" spans="1:10" x14ac:dyDescent="0.2">
      <c r="A135" s="41" t="s">
        <v>74</v>
      </c>
      <c r="B135" s="59"/>
      <c r="C135" s="42" t="s">
        <v>197</v>
      </c>
      <c r="D135" s="44" t="s">
        <v>45</v>
      </c>
      <c r="E135" s="44" t="s">
        <v>38</v>
      </c>
      <c r="F135" s="56"/>
      <c r="G135" s="45">
        <f t="shared" si="20"/>
        <v>114.10000000000002</v>
      </c>
      <c r="H135" s="45">
        <f t="shared" si="20"/>
        <v>100</v>
      </c>
      <c r="I135" s="45">
        <f t="shared" si="20"/>
        <v>100</v>
      </c>
      <c r="J135" s="52"/>
    </row>
    <row r="136" spans="1:10" ht="25.5" x14ac:dyDescent="0.2">
      <c r="A136" s="41" t="s">
        <v>83</v>
      </c>
      <c r="B136" s="59"/>
      <c r="C136" s="42" t="s">
        <v>197</v>
      </c>
      <c r="D136" s="44" t="s">
        <v>45</v>
      </c>
      <c r="E136" s="44" t="s">
        <v>38</v>
      </c>
      <c r="F136" s="56" t="s">
        <v>84</v>
      </c>
      <c r="G136" s="45">
        <f>60+350-295.9</f>
        <v>114.10000000000002</v>
      </c>
      <c r="H136" s="45">
        <v>100</v>
      </c>
      <c r="I136" s="45">
        <v>100</v>
      </c>
      <c r="J136" s="52"/>
    </row>
    <row r="137" spans="1:10" x14ac:dyDescent="0.2">
      <c r="A137" s="41"/>
      <c r="B137" s="59"/>
      <c r="C137" s="42"/>
      <c r="D137" s="86"/>
      <c r="E137" s="86"/>
      <c r="F137" s="56"/>
      <c r="G137" s="45"/>
      <c r="H137" s="45"/>
      <c r="I137" s="45"/>
      <c r="J137" s="52"/>
    </row>
    <row r="138" spans="1:10" ht="38.25" x14ac:dyDescent="0.2">
      <c r="A138" s="41" t="s">
        <v>292</v>
      </c>
      <c r="B138" s="59"/>
      <c r="C138" s="42" t="s">
        <v>301</v>
      </c>
      <c r="D138" s="43"/>
      <c r="E138" s="43"/>
      <c r="F138" s="56"/>
      <c r="G138" s="45">
        <f>G139</f>
        <v>1500.972</v>
      </c>
      <c r="H138" s="45"/>
      <c r="I138" s="45"/>
      <c r="J138" s="52"/>
    </row>
    <row r="139" spans="1:10" ht="38.25" x14ac:dyDescent="0.2">
      <c r="A139" s="41" t="s">
        <v>292</v>
      </c>
      <c r="B139" s="59"/>
      <c r="C139" s="42" t="s">
        <v>294</v>
      </c>
      <c r="D139" s="44"/>
      <c r="E139" s="44"/>
      <c r="F139" s="56"/>
      <c r="G139" s="45">
        <f>G140+G145</f>
        <v>1500.972</v>
      </c>
      <c r="H139" s="45"/>
      <c r="I139" s="45"/>
      <c r="J139" s="52"/>
    </row>
    <row r="140" spans="1:10" ht="25.5" x14ac:dyDescent="0.2">
      <c r="A140" s="60" t="s">
        <v>295</v>
      </c>
      <c r="B140" s="59"/>
      <c r="C140" s="42" t="s">
        <v>296</v>
      </c>
      <c r="D140" s="43" t="s">
        <v>39</v>
      </c>
      <c r="E140" s="43" t="s">
        <v>43</v>
      </c>
      <c r="F140" s="56"/>
      <c r="G140" s="45">
        <f>G142+G144</f>
        <v>1378.0719999999999</v>
      </c>
      <c r="H140" s="45"/>
      <c r="I140" s="45"/>
      <c r="J140" s="52"/>
    </row>
    <row r="141" spans="1:10" ht="63.75" x14ac:dyDescent="0.2">
      <c r="A141" s="41" t="s">
        <v>302</v>
      </c>
      <c r="B141" s="59"/>
      <c r="C141" s="64" t="s">
        <v>297</v>
      </c>
      <c r="D141" s="44"/>
      <c r="E141" s="44"/>
      <c r="F141" s="56"/>
      <c r="G141" s="45">
        <f>G142</f>
        <v>952.3</v>
      </c>
      <c r="H141" s="45"/>
      <c r="I141" s="45"/>
      <c r="J141" s="52"/>
    </row>
    <row r="142" spans="1:10" ht="25.5" x14ac:dyDescent="0.2">
      <c r="A142" s="41" t="s">
        <v>83</v>
      </c>
      <c r="B142" s="59"/>
      <c r="C142" s="64" t="s">
        <v>297</v>
      </c>
      <c r="D142" s="44"/>
      <c r="E142" s="43"/>
      <c r="F142" s="43" t="s">
        <v>84</v>
      </c>
      <c r="G142" s="45">
        <f>1064-20-91.7</f>
        <v>952.3</v>
      </c>
      <c r="H142" s="45"/>
      <c r="I142" s="45"/>
      <c r="J142" s="52"/>
    </row>
    <row r="143" spans="1:10" ht="63.75" x14ac:dyDescent="0.2">
      <c r="A143" s="41" t="s">
        <v>303</v>
      </c>
      <c r="B143" s="59"/>
      <c r="C143" s="64" t="s">
        <v>298</v>
      </c>
      <c r="D143" s="44"/>
      <c r="E143" s="44"/>
      <c r="F143" s="56"/>
      <c r="G143" s="45">
        <f>G144</f>
        <v>425.77199999999999</v>
      </c>
      <c r="H143" s="45"/>
      <c r="I143" s="45"/>
      <c r="J143" s="52"/>
    </row>
    <row r="144" spans="1:10" ht="25.5" x14ac:dyDescent="0.2">
      <c r="A144" s="41" t="s">
        <v>83</v>
      </c>
      <c r="B144" s="59"/>
      <c r="C144" s="64" t="s">
        <v>298</v>
      </c>
      <c r="D144" s="44"/>
      <c r="E144" s="56"/>
      <c r="F144" s="43" t="s">
        <v>84</v>
      </c>
      <c r="G144" s="45">
        <v>425.77199999999999</v>
      </c>
      <c r="H144" s="45"/>
      <c r="I144" s="45"/>
      <c r="J144" s="52"/>
    </row>
    <row r="145" spans="1:10" ht="25.5" x14ac:dyDescent="0.2">
      <c r="A145" s="60" t="s">
        <v>312</v>
      </c>
      <c r="B145" s="59"/>
      <c r="C145" s="64" t="s">
        <v>311</v>
      </c>
      <c r="D145" s="44"/>
      <c r="E145" s="56"/>
      <c r="F145" s="43"/>
      <c r="G145" s="45">
        <f>G146+G150+G148+G152</f>
        <v>122.9</v>
      </c>
      <c r="H145" s="45"/>
      <c r="I145" s="45"/>
      <c r="J145" s="52"/>
    </row>
    <row r="146" spans="1:10" ht="63.75" x14ac:dyDescent="0.2">
      <c r="A146" s="41" t="s">
        <v>302</v>
      </c>
      <c r="B146" s="59"/>
      <c r="C146" s="64" t="s">
        <v>310</v>
      </c>
      <c r="D146" s="43" t="s">
        <v>45</v>
      </c>
      <c r="E146" s="43" t="s">
        <v>38</v>
      </c>
      <c r="F146" s="56"/>
      <c r="G146" s="45">
        <f>G147</f>
        <v>20</v>
      </c>
      <c r="H146" s="45"/>
      <c r="I146" s="45"/>
      <c r="J146" s="52"/>
    </row>
    <row r="147" spans="1:10" ht="25.5" x14ac:dyDescent="0.2">
      <c r="A147" s="41" t="s">
        <v>83</v>
      </c>
      <c r="B147" s="59"/>
      <c r="C147" s="64" t="s">
        <v>310</v>
      </c>
      <c r="D147" s="44"/>
      <c r="E147" s="56"/>
      <c r="F147" s="43" t="s">
        <v>84</v>
      </c>
      <c r="G147" s="45">
        <v>20</v>
      </c>
      <c r="H147" s="45"/>
      <c r="I147" s="45"/>
      <c r="J147" s="52"/>
    </row>
    <row r="148" spans="1:10" ht="63.75" x14ac:dyDescent="0.2">
      <c r="A148" s="41" t="s">
        <v>303</v>
      </c>
      <c r="B148" s="59"/>
      <c r="C148" s="64" t="s">
        <v>313</v>
      </c>
      <c r="D148" s="44"/>
      <c r="E148" s="56"/>
      <c r="F148" s="43"/>
      <c r="G148" s="45">
        <f>G149</f>
        <v>2</v>
      </c>
      <c r="H148" s="45"/>
      <c r="I148" s="45"/>
      <c r="J148" s="52"/>
    </row>
    <row r="149" spans="1:10" ht="25.5" x14ac:dyDescent="0.2">
      <c r="A149" s="41" t="s">
        <v>83</v>
      </c>
      <c r="B149" s="59"/>
      <c r="C149" s="64" t="s">
        <v>313</v>
      </c>
      <c r="D149" s="44"/>
      <c r="E149" s="56"/>
      <c r="F149" s="43" t="s">
        <v>84</v>
      </c>
      <c r="G149" s="45">
        <v>2</v>
      </c>
      <c r="H149" s="45"/>
      <c r="I149" s="45"/>
      <c r="J149" s="52"/>
    </row>
    <row r="150" spans="1:10" ht="63.75" x14ac:dyDescent="0.2">
      <c r="A150" s="41" t="s">
        <v>302</v>
      </c>
      <c r="B150" s="59"/>
      <c r="C150" s="64" t="s">
        <v>310</v>
      </c>
      <c r="D150" s="43" t="s">
        <v>40</v>
      </c>
      <c r="E150" s="43" t="s">
        <v>45</v>
      </c>
      <c r="F150" s="56"/>
      <c r="G150" s="45">
        <f>G151</f>
        <v>91.7</v>
      </c>
      <c r="H150" s="45"/>
      <c r="I150" s="45"/>
      <c r="J150" s="52"/>
    </row>
    <row r="151" spans="1:10" ht="25.5" x14ac:dyDescent="0.2">
      <c r="A151" s="41" t="s">
        <v>83</v>
      </c>
      <c r="B151" s="59"/>
      <c r="C151" s="64" t="s">
        <v>310</v>
      </c>
      <c r="D151" s="44"/>
      <c r="E151" s="56"/>
      <c r="F151" s="43" t="s">
        <v>84</v>
      </c>
      <c r="G151" s="45">
        <v>91.7</v>
      </c>
      <c r="H151" s="45"/>
      <c r="I151" s="45"/>
      <c r="J151" s="52"/>
    </row>
    <row r="152" spans="1:10" ht="63.75" x14ac:dyDescent="0.2">
      <c r="A152" s="41" t="s">
        <v>303</v>
      </c>
      <c r="B152" s="59"/>
      <c r="C152" s="64" t="s">
        <v>313</v>
      </c>
      <c r="D152" s="44"/>
      <c r="E152" s="56"/>
      <c r="F152" s="43"/>
      <c r="G152" s="45">
        <f>G153</f>
        <v>9.1999999999999993</v>
      </c>
      <c r="H152" s="45"/>
      <c r="I152" s="45"/>
      <c r="J152" s="52"/>
    </row>
    <row r="153" spans="1:10" ht="25.5" x14ac:dyDescent="0.2">
      <c r="A153" s="41" t="s">
        <v>83</v>
      </c>
      <c r="B153" s="59"/>
      <c r="C153" s="64" t="s">
        <v>313</v>
      </c>
      <c r="D153" s="44"/>
      <c r="E153" s="56"/>
      <c r="F153" s="43" t="s">
        <v>84</v>
      </c>
      <c r="G153" s="45">
        <v>9.1999999999999993</v>
      </c>
      <c r="H153" s="45"/>
      <c r="I153" s="45"/>
      <c r="J153" s="52"/>
    </row>
    <row r="154" spans="1:10" ht="14.25" x14ac:dyDescent="0.2">
      <c r="A154" s="37" t="s">
        <v>17</v>
      </c>
      <c r="B154" s="50">
        <v>911</v>
      </c>
      <c r="C154" s="87" t="s">
        <v>16</v>
      </c>
      <c r="D154" s="88" t="s">
        <v>36</v>
      </c>
      <c r="E154" s="88" t="s">
        <v>37</v>
      </c>
      <c r="F154" s="87" t="s">
        <v>16</v>
      </c>
      <c r="G154" s="89">
        <f>G155+G162+G180+G186+G174</f>
        <v>14284.676000000001</v>
      </c>
      <c r="H154" s="89">
        <f>H155+H162+H180+H186</f>
        <v>15004.091999999999</v>
      </c>
      <c r="I154" s="89">
        <f>I155+I162+I180+I186</f>
        <v>15062.449999999997</v>
      </c>
      <c r="J154" s="90"/>
    </row>
    <row r="155" spans="1:10" ht="39" x14ac:dyDescent="0.25">
      <c r="A155" s="37" t="s">
        <v>222</v>
      </c>
      <c r="B155" s="91"/>
      <c r="C155" s="49"/>
      <c r="D155" s="49" t="s">
        <v>36</v>
      </c>
      <c r="E155" s="49" t="s">
        <v>38</v>
      </c>
      <c r="F155" s="49"/>
      <c r="G155" s="92">
        <f t="shared" ref="G155:I156" si="21">G156</f>
        <v>305.84800000000001</v>
      </c>
      <c r="H155" s="92">
        <f t="shared" si="21"/>
        <v>325.34800000000001</v>
      </c>
      <c r="I155" s="92">
        <f t="shared" si="21"/>
        <v>325.34800000000001</v>
      </c>
    </row>
    <row r="156" spans="1:10" ht="15" x14ac:dyDescent="0.25">
      <c r="A156" s="41" t="s">
        <v>164</v>
      </c>
      <c r="B156" s="91"/>
      <c r="C156" s="56" t="s">
        <v>89</v>
      </c>
      <c r="D156" s="56" t="s">
        <v>36</v>
      </c>
      <c r="E156" s="56" t="s">
        <v>38</v>
      </c>
      <c r="F156" s="49"/>
      <c r="G156" s="93">
        <f t="shared" si="21"/>
        <v>305.84800000000001</v>
      </c>
      <c r="H156" s="93">
        <f t="shared" si="21"/>
        <v>325.34800000000001</v>
      </c>
      <c r="I156" s="93">
        <f t="shared" si="21"/>
        <v>325.34800000000001</v>
      </c>
    </row>
    <row r="157" spans="1:10" ht="25.5" x14ac:dyDescent="0.2">
      <c r="A157" s="41" t="s">
        <v>54</v>
      </c>
      <c r="B157" s="59"/>
      <c r="C157" s="56" t="s">
        <v>86</v>
      </c>
      <c r="D157" s="56" t="s">
        <v>36</v>
      </c>
      <c r="E157" s="56" t="s">
        <v>38</v>
      </c>
      <c r="F157" s="56"/>
      <c r="G157" s="45">
        <f>G158+G160</f>
        <v>305.84800000000001</v>
      </c>
      <c r="H157" s="45">
        <f>H158+H160</f>
        <v>325.34800000000001</v>
      </c>
      <c r="I157" s="45">
        <f>I158+I160</f>
        <v>325.34800000000001</v>
      </c>
    </row>
    <row r="158" spans="1:10" x14ac:dyDescent="0.2">
      <c r="A158" s="63" t="s">
        <v>166</v>
      </c>
      <c r="B158" s="59"/>
      <c r="C158" s="43" t="s">
        <v>165</v>
      </c>
      <c r="D158" s="56" t="s">
        <v>36</v>
      </c>
      <c r="E158" s="56" t="s">
        <v>38</v>
      </c>
      <c r="F158" s="56"/>
      <c r="G158" s="45">
        <f>G159</f>
        <v>152.84800000000001</v>
      </c>
      <c r="H158" s="45">
        <f>H159</f>
        <v>172.34800000000001</v>
      </c>
      <c r="I158" s="45">
        <f>I159</f>
        <v>172.34800000000001</v>
      </c>
    </row>
    <row r="159" spans="1:10" ht="25.5" x14ac:dyDescent="0.2">
      <c r="A159" s="41" t="s">
        <v>83</v>
      </c>
      <c r="B159" s="59"/>
      <c r="C159" s="44" t="s">
        <v>87</v>
      </c>
      <c r="D159" s="56" t="s">
        <v>36</v>
      </c>
      <c r="E159" s="56" t="s">
        <v>38</v>
      </c>
      <c r="F159" s="56" t="s">
        <v>84</v>
      </c>
      <c r="G159" s="45">
        <f>172.348-19.5</f>
        <v>152.84800000000001</v>
      </c>
      <c r="H159" s="45">
        <v>172.34800000000001</v>
      </c>
      <c r="I159" s="45">
        <v>172.34800000000001</v>
      </c>
    </row>
    <row r="160" spans="1:10" ht="27" customHeight="1" x14ac:dyDescent="0.2">
      <c r="A160" s="41" t="s">
        <v>55</v>
      </c>
      <c r="B160" s="57"/>
      <c r="C160" s="56" t="s">
        <v>88</v>
      </c>
      <c r="D160" s="56" t="s">
        <v>36</v>
      </c>
      <c r="E160" s="56" t="s">
        <v>38</v>
      </c>
      <c r="F160" s="62"/>
      <c r="G160" s="45">
        <f>G161</f>
        <v>153</v>
      </c>
      <c r="H160" s="45">
        <f>H161</f>
        <v>153</v>
      </c>
      <c r="I160" s="45">
        <f>I161</f>
        <v>153</v>
      </c>
    </row>
    <row r="161" spans="1:15" x14ac:dyDescent="0.2">
      <c r="A161" s="41" t="s">
        <v>56</v>
      </c>
      <c r="B161" s="57"/>
      <c r="C161" s="56" t="s">
        <v>88</v>
      </c>
      <c r="D161" s="56" t="s">
        <v>36</v>
      </c>
      <c r="E161" s="56" t="s">
        <v>38</v>
      </c>
      <c r="F161" s="56" t="s">
        <v>57</v>
      </c>
      <c r="G161" s="45">
        <v>153</v>
      </c>
      <c r="H161" s="45">
        <v>153</v>
      </c>
      <c r="I161" s="45">
        <v>153</v>
      </c>
    </row>
    <row r="162" spans="1:15" ht="39" customHeight="1" x14ac:dyDescent="0.25">
      <c r="A162" s="37" t="s">
        <v>18</v>
      </c>
      <c r="B162" s="59"/>
      <c r="C162" s="34" t="s">
        <v>16</v>
      </c>
      <c r="D162" s="49" t="s">
        <v>36</v>
      </c>
      <c r="E162" s="49" t="s">
        <v>39</v>
      </c>
      <c r="F162" s="34" t="s">
        <v>16</v>
      </c>
      <c r="G162" s="36">
        <f>G163</f>
        <v>12707.255000000001</v>
      </c>
      <c r="H162" s="36">
        <v>13208.822999999999</v>
      </c>
      <c r="I162" s="36">
        <v>13259.043999999998</v>
      </c>
      <c r="J162" s="160"/>
      <c r="K162" s="161"/>
      <c r="L162" s="161"/>
      <c r="M162" s="161"/>
      <c r="N162" s="161"/>
      <c r="O162" s="161"/>
    </row>
    <row r="163" spans="1:15" x14ac:dyDescent="0.2">
      <c r="A163" s="54" t="s">
        <v>80</v>
      </c>
      <c r="B163" s="59"/>
      <c r="C163" s="56" t="s">
        <v>89</v>
      </c>
      <c r="D163" s="56" t="s">
        <v>36</v>
      </c>
      <c r="E163" s="56" t="s">
        <v>39</v>
      </c>
      <c r="F163" s="62" t="s">
        <v>16</v>
      </c>
      <c r="G163" s="45">
        <f>G164+G168</f>
        <v>12707.255000000001</v>
      </c>
      <c r="H163" s="45">
        <v>13208.822999999999</v>
      </c>
      <c r="I163" s="45">
        <v>13259.043999999998</v>
      </c>
    </row>
    <row r="164" spans="1:15" x14ac:dyDescent="0.2">
      <c r="A164" s="41" t="s">
        <v>58</v>
      </c>
      <c r="B164" s="59"/>
      <c r="C164" s="56" t="s">
        <v>91</v>
      </c>
      <c r="D164" s="56" t="s">
        <v>36</v>
      </c>
      <c r="E164" s="56" t="s">
        <v>39</v>
      </c>
      <c r="F164" s="62" t="s">
        <v>16</v>
      </c>
      <c r="G164" s="45">
        <v>1429.961</v>
      </c>
      <c r="H164" s="45">
        <v>1429.961</v>
      </c>
      <c r="I164" s="45">
        <v>1429.961</v>
      </c>
    </row>
    <row r="165" spans="1:15" x14ac:dyDescent="0.2">
      <c r="A165" s="63" t="s">
        <v>166</v>
      </c>
      <c r="B165" s="59"/>
      <c r="C165" s="43" t="s">
        <v>167</v>
      </c>
      <c r="D165" s="56" t="s">
        <v>36</v>
      </c>
      <c r="E165" s="56" t="s">
        <v>39</v>
      </c>
      <c r="F165" s="62"/>
      <c r="G165" s="45">
        <v>1429.961</v>
      </c>
      <c r="H165" s="45">
        <v>1429.961</v>
      </c>
      <c r="I165" s="45">
        <v>1429.961</v>
      </c>
    </row>
    <row r="166" spans="1:15" ht="25.5" x14ac:dyDescent="0.2">
      <c r="A166" s="54" t="s">
        <v>60</v>
      </c>
      <c r="B166" s="59"/>
      <c r="C166" s="94" t="s">
        <v>90</v>
      </c>
      <c r="D166" s="94" t="s">
        <v>36</v>
      </c>
      <c r="E166" s="94" t="s">
        <v>39</v>
      </c>
      <c r="F166" s="95"/>
      <c r="G166" s="96">
        <v>1429.961</v>
      </c>
      <c r="H166" s="96">
        <v>1429.961</v>
      </c>
      <c r="I166" s="96">
        <v>1429.961</v>
      </c>
    </row>
    <row r="167" spans="1:15" ht="26.25" customHeight="1" x14ac:dyDescent="0.2">
      <c r="A167" s="63" t="s">
        <v>223</v>
      </c>
      <c r="B167" s="57"/>
      <c r="C167" s="56" t="s">
        <v>90</v>
      </c>
      <c r="D167" s="56" t="s">
        <v>36</v>
      </c>
      <c r="E167" s="56" t="s">
        <v>39</v>
      </c>
      <c r="F167" s="62">
        <v>120</v>
      </c>
      <c r="G167" s="45">
        <v>1429.961</v>
      </c>
      <c r="H167" s="45">
        <v>1429.961</v>
      </c>
      <c r="I167" s="45">
        <v>1429.961</v>
      </c>
    </row>
    <row r="168" spans="1:15" ht="25.5" x14ac:dyDescent="0.2">
      <c r="A168" s="54" t="s">
        <v>59</v>
      </c>
      <c r="B168" s="97"/>
      <c r="C168" s="98" t="s">
        <v>86</v>
      </c>
      <c r="D168" s="98" t="s">
        <v>36</v>
      </c>
      <c r="E168" s="98" t="s">
        <v>39</v>
      </c>
      <c r="F168" s="55"/>
      <c r="G168" s="99">
        <f>G169+G171</f>
        <v>11277.294000000002</v>
      </c>
      <c r="H168" s="99">
        <f>H169+H171</f>
        <v>11778.861999999999</v>
      </c>
      <c r="I168" s="99">
        <f>I169+I171</f>
        <v>11829.082999999999</v>
      </c>
    </row>
    <row r="169" spans="1:15" ht="25.5" x14ac:dyDescent="0.2">
      <c r="A169" s="54" t="s">
        <v>60</v>
      </c>
      <c r="B169" s="97"/>
      <c r="C169" s="100" t="s">
        <v>92</v>
      </c>
      <c r="D169" s="101" t="s">
        <v>36</v>
      </c>
      <c r="E169" s="101" t="s">
        <v>39</v>
      </c>
      <c r="F169" s="100" t="s">
        <v>16</v>
      </c>
      <c r="G169" s="102">
        <f>G170</f>
        <v>8948.6550000000007</v>
      </c>
      <c r="H169" s="102">
        <f>H170</f>
        <v>9566.8549999999996</v>
      </c>
      <c r="I169" s="102">
        <f>I170</f>
        <v>9566.8549999999996</v>
      </c>
    </row>
    <row r="170" spans="1:15" ht="25.5" x14ac:dyDescent="0.2">
      <c r="A170" s="63" t="s">
        <v>85</v>
      </c>
      <c r="B170" s="97"/>
      <c r="C170" s="64" t="s">
        <v>92</v>
      </c>
      <c r="D170" s="64" t="s">
        <v>36</v>
      </c>
      <c r="E170" s="64" t="s">
        <v>39</v>
      </c>
      <c r="F170" s="42">
        <v>120</v>
      </c>
      <c r="G170" s="45">
        <f>9566.855-572-33+51.2-64.4</f>
        <v>8948.6550000000007</v>
      </c>
      <c r="H170" s="45">
        <v>9566.8549999999996</v>
      </c>
      <c r="I170" s="45">
        <v>9566.8549999999996</v>
      </c>
    </row>
    <row r="171" spans="1:15" ht="25.5" x14ac:dyDescent="0.2">
      <c r="A171" s="63" t="s">
        <v>221</v>
      </c>
      <c r="B171" s="97"/>
      <c r="C171" s="103" t="s">
        <v>87</v>
      </c>
      <c r="D171" s="103" t="s">
        <v>36</v>
      </c>
      <c r="E171" s="103" t="s">
        <v>39</v>
      </c>
      <c r="F171" s="104"/>
      <c r="G171" s="105">
        <f>G172+G173</f>
        <v>2328.6390000000006</v>
      </c>
      <c r="H171" s="105">
        <f>H172+H173</f>
        <v>2212.0070000000001</v>
      </c>
      <c r="I171" s="105">
        <f>I172+I173</f>
        <v>2262.2280000000001</v>
      </c>
    </row>
    <row r="172" spans="1:15" ht="25.5" x14ac:dyDescent="0.2">
      <c r="A172" s="41" t="s">
        <v>83</v>
      </c>
      <c r="B172" s="97"/>
      <c r="C172" s="64" t="s">
        <v>87</v>
      </c>
      <c r="D172" s="64" t="s">
        <v>36</v>
      </c>
      <c r="E172" s="64" t="s">
        <v>39</v>
      </c>
      <c r="F172" s="64" t="s">
        <v>84</v>
      </c>
      <c r="G172" s="77">
        <f>2124.581+114.4+81.058+6.8+1.5</f>
        <v>2328.3390000000004</v>
      </c>
      <c r="H172" s="77">
        <v>2209.0070000000001</v>
      </c>
      <c r="I172" s="77">
        <v>2259.2280000000001</v>
      </c>
    </row>
    <row r="173" spans="1:15" x14ac:dyDescent="0.2">
      <c r="A173" s="60" t="s">
        <v>82</v>
      </c>
      <c r="B173" s="97"/>
      <c r="C173" s="64" t="s">
        <v>87</v>
      </c>
      <c r="D173" s="64" t="s">
        <v>36</v>
      </c>
      <c r="E173" s="64" t="s">
        <v>39</v>
      </c>
      <c r="F173" s="64" t="s">
        <v>216</v>
      </c>
      <c r="G173" s="77">
        <f>3-2.7</f>
        <v>0.29999999999999982</v>
      </c>
      <c r="H173" s="77">
        <v>3</v>
      </c>
      <c r="I173" s="77">
        <v>3</v>
      </c>
    </row>
    <row r="174" spans="1:15" x14ac:dyDescent="0.2">
      <c r="A174" s="106" t="s">
        <v>52</v>
      </c>
      <c r="B174" s="97"/>
      <c r="C174" s="79"/>
      <c r="D174" s="79" t="s">
        <v>36</v>
      </c>
      <c r="E174" s="79" t="s">
        <v>53</v>
      </c>
      <c r="F174" s="64" t="s">
        <v>84</v>
      </c>
      <c r="G174" s="80">
        <f>G175</f>
        <v>39.200000000000003</v>
      </c>
      <c r="H174" s="77"/>
      <c r="I174" s="77"/>
    </row>
    <row r="175" spans="1:15" x14ac:dyDescent="0.2">
      <c r="A175" s="54" t="s">
        <v>61</v>
      </c>
      <c r="B175" s="97"/>
      <c r="C175" s="55" t="s">
        <v>93</v>
      </c>
      <c r="D175" s="64" t="s">
        <v>36</v>
      </c>
      <c r="E175" s="64" t="s">
        <v>53</v>
      </c>
      <c r="F175" s="64"/>
      <c r="G175" s="77">
        <f>G176</f>
        <v>39.200000000000003</v>
      </c>
      <c r="H175" s="77"/>
      <c r="I175" s="77"/>
    </row>
    <row r="176" spans="1:15" x14ac:dyDescent="0.2">
      <c r="A176" s="54" t="s">
        <v>81</v>
      </c>
      <c r="B176" s="97"/>
      <c r="C176" s="55" t="s">
        <v>93</v>
      </c>
      <c r="D176" s="64" t="s">
        <v>36</v>
      </c>
      <c r="E176" s="64" t="s">
        <v>53</v>
      </c>
      <c r="F176" s="64"/>
      <c r="G176" s="77">
        <f>G177</f>
        <v>39.200000000000003</v>
      </c>
      <c r="H176" s="77"/>
      <c r="I176" s="77"/>
    </row>
    <row r="177" spans="1:9" x14ac:dyDescent="0.2">
      <c r="A177" s="54" t="s">
        <v>81</v>
      </c>
      <c r="B177" s="97"/>
      <c r="C177" s="55" t="s">
        <v>93</v>
      </c>
      <c r="D177" s="64" t="s">
        <v>36</v>
      </c>
      <c r="E177" s="64" t="s">
        <v>53</v>
      </c>
      <c r="F177" s="64"/>
      <c r="G177" s="77">
        <f>G178</f>
        <v>39.200000000000003</v>
      </c>
      <c r="H177" s="77"/>
      <c r="I177" s="77"/>
    </row>
    <row r="178" spans="1:9" x14ac:dyDescent="0.2">
      <c r="A178" s="60" t="s">
        <v>288</v>
      </c>
      <c r="B178" s="97"/>
      <c r="C178" s="55" t="s">
        <v>93</v>
      </c>
      <c r="D178" s="64" t="s">
        <v>36</v>
      </c>
      <c r="E178" s="64" t="s">
        <v>53</v>
      </c>
      <c r="F178" s="64"/>
      <c r="G178" s="77">
        <f>G179</f>
        <v>39.200000000000003</v>
      </c>
      <c r="H178" s="77"/>
      <c r="I178" s="77"/>
    </row>
    <row r="179" spans="1:9" ht="25.5" x14ac:dyDescent="0.2">
      <c r="A179" s="41" t="s">
        <v>83</v>
      </c>
      <c r="B179" s="97"/>
      <c r="C179" s="107" t="s">
        <v>93</v>
      </c>
      <c r="D179" s="108" t="s">
        <v>36</v>
      </c>
      <c r="E179" s="108" t="s">
        <v>53</v>
      </c>
      <c r="F179" s="108" t="s">
        <v>84</v>
      </c>
      <c r="G179" s="109">
        <v>39.200000000000003</v>
      </c>
      <c r="H179" s="77"/>
      <c r="I179" s="77"/>
    </row>
    <row r="180" spans="1:9" ht="15" x14ac:dyDescent="0.25">
      <c r="A180" s="68" t="s">
        <v>19</v>
      </c>
      <c r="B180" s="55"/>
      <c r="C180" s="47"/>
      <c r="D180" s="110" t="s">
        <v>36</v>
      </c>
      <c r="E180" s="110" t="s">
        <v>40</v>
      </c>
      <c r="F180" s="47"/>
      <c r="G180" s="36">
        <f t="shared" ref="G180:I184" si="22">G181</f>
        <v>200</v>
      </c>
      <c r="H180" s="36">
        <f t="shared" si="22"/>
        <v>200</v>
      </c>
      <c r="I180" s="36">
        <f t="shared" si="22"/>
        <v>200</v>
      </c>
    </row>
    <row r="181" spans="1:9" x14ac:dyDescent="0.2">
      <c r="A181" s="54" t="s">
        <v>61</v>
      </c>
      <c r="B181" s="55"/>
      <c r="C181" s="55" t="s">
        <v>93</v>
      </c>
      <c r="D181" s="98" t="s">
        <v>36</v>
      </c>
      <c r="E181" s="98" t="s">
        <v>40</v>
      </c>
      <c r="F181" s="55"/>
      <c r="G181" s="45">
        <f t="shared" si="22"/>
        <v>200</v>
      </c>
      <c r="H181" s="45">
        <f t="shared" si="22"/>
        <v>200</v>
      </c>
      <c r="I181" s="45">
        <f t="shared" si="22"/>
        <v>200</v>
      </c>
    </row>
    <row r="182" spans="1:9" x14ac:dyDescent="0.2">
      <c r="A182" s="54" t="s">
        <v>81</v>
      </c>
      <c r="B182" s="55"/>
      <c r="C182" s="55" t="s">
        <v>94</v>
      </c>
      <c r="D182" s="98" t="s">
        <v>36</v>
      </c>
      <c r="E182" s="98" t="s">
        <v>40</v>
      </c>
      <c r="F182" s="55" t="s">
        <v>16</v>
      </c>
      <c r="G182" s="45">
        <f t="shared" si="22"/>
        <v>200</v>
      </c>
      <c r="H182" s="45">
        <f t="shared" si="22"/>
        <v>200</v>
      </c>
      <c r="I182" s="45">
        <f t="shared" si="22"/>
        <v>200</v>
      </c>
    </row>
    <row r="183" spans="1:9" x14ac:dyDescent="0.2">
      <c r="A183" s="54" t="s">
        <v>81</v>
      </c>
      <c r="B183" s="55"/>
      <c r="C183" s="55" t="s">
        <v>111</v>
      </c>
      <c r="D183" s="98" t="s">
        <v>36</v>
      </c>
      <c r="E183" s="98" t="s">
        <v>40</v>
      </c>
      <c r="F183" s="55"/>
      <c r="G183" s="45">
        <f t="shared" si="22"/>
        <v>200</v>
      </c>
      <c r="H183" s="45">
        <f t="shared" si="22"/>
        <v>200</v>
      </c>
      <c r="I183" s="45">
        <f t="shared" si="22"/>
        <v>200</v>
      </c>
    </row>
    <row r="184" spans="1:9" x14ac:dyDescent="0.2">
      <c r="A184" s="54" t="s">
        <v>63</v>
      </c>
      <c r="B184" s="55"/>
      <c r="C184" s="98" t="s">
        <v>95</v>
      </c>
      <c r="D184" s="98" t="s">
        <v>36</v>
      </c>
      <c r="E184" s="98" t="s">
        <v>40</v>
      </c>
      <c r="F184" s="98" t="s">
        <v>16</v>
      </c>
      <c r="G184" s="45">
        <f t="shared" si="22"/>
        <v>200</v>
      </c>
      <c r="H184" s="45">
        <f t="shared" si="22"/>
        <v>200</v>
      </c>
      <c r="I184" s="45">
        <f t="shared" si="22"/>
        <v>200</v>
      </c>
    </row>
    <row r="185" spans="1:9" x14ac:dyDescent="0.2">
      <c r="A185" s="54" t="s">
        <v>63</v>
      </c>
      <c r="B185" s="55"/>
      <c r="C185" s="98" t="s">
        <v>95</v>
      </c>
      <c r="D185" s="98" t="s">
        <v>36</v>
      </c>
      <c r="E185" s="98" t="s">
        <v>40</v>
      </c>
      <c r="F185" s="98" t="s">
        <v>64</v>
      </c>
      <c r="G185" s="45">
        <v>200</v>
      </c>
      <c r="H185" s="45">
        <v>200</v>
      </c>
      <c r="I185" s="45">
        <v>200</v>
      </c>
    </row>
    <row r="186" spans="1:9" ht="15.75" customHeight="1" x14ac:dyDescent="0.25">
      <c r="A186" s="37" t="s">
        <v>24</v>
      </c>
      <c r="B186" s="59"/>
      <c r="C186" s="49"/>
      <c r="D186" s="49" t="s">
        <v>36</v>
      </c>
      <c r="E186" s="49" t="s">
        <v>41</v>
      </c>
      <c r="F186" s="49"/>
      <c r="G186" s="36">
        <f t="shared" ref="G186:I188" si="23">G187</f>
        <v>1032.373</v>
      </c>
      <c r="H186" s="36">
        <f t="shared" si="23"/>
        <v>1269.9209999999998</v>
      </c>
      <c r="I186" s="36">
        <f t="shared" si="23"/>
        <v>1278.0579999999998</v>
      </c>
    </row>
    <row r="187" spans="1:9" x14ac:dyDescent="0.2">
      <c r="A187" s="54" t="s">
        <v>61</v>
      </c>
      <c r="B187" s="55"/>
      <c r="C187" s="98" t="s">
        <v>93</v>
      </c>
      <c r="D187" s="98" t="s">
        <v>36</v>
      </c>
      <c r="E187" s="98" t="s">
        <v>41</v>
      </c>
      <c r="F187" s="56"/>
      <c r="G187" s="45">
        <f t="shared" si="23"/>
        <v>1032.373</v>
      </c>
      <c r="H187" s="45">
        <f t="shared" si="23"/>
        <v>1269.9209999999998</v>
      </c>
      <c r="I187" s="45">
        <f t="shared" si="23"/>
        <v>1278.0579999999998</v>
      </c>
    </row>
    <row r="188" spans="1:9" x14ac:dyDescent="0.2">
      <c r="A188" s="54" t="s">
        <v>81</v>
      </c>
      <c r="B188" s="55"/>
      <c r="C188" s="98" t="s">
        <v>94</v>
      </c>
      <c r="D188" s="98" t="s">
        <v>36</v>
      </c>
      <c r="E188" s="98" t="s">
        <v>41</v>
      </c>
      <c r="F188" s="56"/>
      <c r="G188" s="45">
        <f t="shared" si="23"/>
        <v>1032.373</v>
      </c>
      <c r="H188" s="45">
        <f t="shared" si="23"/>
        <v>1269.9209999999998</v>
      </c>
      <c r="I188" s="45">
        <f t="shared" si="23"/>
        <v>1278.0579999999998</v>
      </c>
    </row>
    <row r="189" spans="1:9" x14ac:dyDescent="0.2">
      <c r="A189" s="54" t="s">
        <v>81</v>
      </c>
      <c r="B189" s="55"/>
      <c r="C189" s="98" t="s">
        <v>111</v>
      </c>
      <c r="D189" s="98" t="s">
        <v>36</v>
      </c>
      <c r="E189" s="98" t="s">
        <v>41</v>
      </c>
      <c r="F189" s="56"/>
      <c r="G189" s="45">
        <f>G190+G193+G195+G197+G199+G201+G203+G205+G207+G209</f>
        <v>1032.373</v>
      </c>
      <c r="H189" s="45">
        <f>H190+H193+H195+H197+H199+H201+H203+H205+H207+H209</f>
        <v>1269.9209999999998</v>
      </c>
      <c r="I189" s="45">
        <f>I190+I193+I195+I197+I199+I201+I203+I205+I207+I209</f>
        <v>1278.0579999999998</v>
      </c>
    </row>
    <row r="190" spans="1:9" ht="25.5" x14ac:dyDescent="0.2">
      <c r="A190" s="54" t="s">
        <v>224</v>
      </c>
      <c r="B190" s="55"/>
      <c r="C190" s="64" t="s">
        <v>96</v>
      </c>
      <c r="D190" s="64" t="s">
        <v>36</v>
      </c>
      <c r="E190" s="64" t="s">
        <v>41</v>
      </c>
      <c r="F190" s="42"/>
      <c r="G190" s="45">
        <f>G191+G192</f>
        <v>417.93799999999999</v>
      </c>
      <c r="H190" s="45">
        <f>H191+H192</f>
        <v>116.714</v>
      </c>
      <c r="I190" s="45">
        <f>I191+I192</f>
        <v>116.714</v>
      </c>
    </row>
    <row r="191" spans="1:9" ht="25.5" x14ac:dyDescent="0.2">
      <c r="A191" s="41" t="s">
        <v>83</v>
      </c>
      <c r="B191" s="42"/>
      <c r="C191" s="64" t="s">
        <v>96</v>
      </c>
      <c r="D191" s="64" t="s">
        <v>36</v>
      </c>
      <c r="E191" s="64" t="s">
        <v>41</v>
      </c>
      <c r="F191" s="42">
        <v>240</v>
      </c>
      <c r="G191" s="45">
        <f>128.938-71.8+17+6.5</f>
        <v>80.637999999999991</v>
      </c>
      <c r="H191" s="45">
        <v>112.114</v>
      </c>
      <c r="I191" s="45">
        <v>112.114</v>
      </c>
    </row>
    <row r="192" spans="1:9" x14ac:dyDescent="0.2">
      <c r="A192" s="60" t="s">
        <v>82</v>
      </c>
      <c r="B192" s="42"/>
      <c r="C192" s="64" t="s">
        <v>96</v>
      </c>
      <c r="D192" s="64" t="s">
        <v>36</v>
      </c>
      <c r="E192" s="64" t="s">
        <v>41</v>
      </c>
      <c r="F192" s="42">
        <v>850</v>
      </c>
      <c r="G192" s="45">
        <f>4.6+200+135.9-3.2</f>
        <v>337.3</v>
      </c>
      <c r="H192" s="45">
        <v>4.5999999999999996</v>
      </c>
      <c r="I192" s="45">
        <v>4.5999999999999996</v>
      </c>
    </row>
    <row r="193" spans="1:9" x14ac:dyDescent="0.2">
      <c r="A193" s="41" t="s">
        <v>50</v>
      </c>
      <c r="B193" s="59"/>
      <c r="C193" s="64" t="s">
        <v>97</v>
      </c>
      <c r="D193" s="56" t="s">
        <v>36</v>
      </c>
      <c r="E193" s="56" t="s">
        <v>41</v>
      </c>
      <c r="F193" s="42"/>
      <c r="G193" s="45">
        <f>G194</f>
        <v>0</v>
      </c>
      <c r="H193" s="45">
        <f>H194</f>
        <v>500</v>
      </c>
      <c r="I193" s="45">
        <f>I194</f>
        <v>500</v>
      </c>
    </row>
    <row r="194" spans="1:9" ht="25.5" x14ac:dyDescent="0.2">
      <c r="A194" s="41" t="s">
        <v>83</v>
      </c>
      <c r="B194" s="59"/>
      <c r="C194" s="64" t="s">
        <v>97</v>
      </c>
      <c r="D194" s="56" t="s">
        <v>36</v>
      </c>
      <c r="E194" s="56" t="s">
        <v>41</v>
      </c>
      <c r="F194" s="42">
        <v>240</v>
      </c>
      <c r="G194" s="45">
        <v>0</v>
      </c>
      <c r="H194" s="45">
        <v>500</v>
      </c>
      <c r="I194" s="45">
        <v>500</v>
      </c>
    </row>
    <row r="195" spans="1:9" ht="17.25" customHeight="1" x14ac:dyDescent="0.2">
      <c r="A195" s="41" t="s">
        <v>225</v>
      </c>
      <c r="B195" s="75"/>
      <c r="C195" s="64" t="s">
        <v>98</v>
      </c>
      <c r="D195" s="56" t="s">
        <v>36</v>
      </c>
      <c r="E195" s="56" t="s">
        <v>41</v>
      </c>
      <c r="F195" s="42"/>
      <c r="G195" s="45">
        <f>G196</f>
        <v>53</v>
      </c>
      <c r="H195" s="45">
        <f>H196</f>
        <v>150</v>
      </c>
      <c r="I195" s="45">
        <f>I196</f>
        <v>150</v>
      </c>
    </row>
    <row r="196" spans="1:9" ht="25.5" x14ac:dyDescent="0.2">
      <c r="A196" s="41" t="s">
        <v>83</v>
      </c>
      <c r="B196" s="75"/>
      <c r="C196" s="64" t="s">
        <v>98</v>
      </c>
      <c r="D196" s="56" t="s">
        <v>36</v>
      </c>
      <c r="E196" s="56" t="s">
        <v>41</v>
      </c>
      <c r="F196" s="42">
        <v>240</v>
      </c>
      <c r="G196" s="45">
        <f>50+3</f>
        <v>53</v>
      </c>
      <c r="H196" s="45">
        <v>150</v>
      </c>
      <c r="I196" s="45">
        <v>150</v>
      </c>
    </row>
    <row r="197" spans="1:9" ht="25.5" x14ac:dyDescent="0.2">
      <c r="A197" s="41" t="s">
        <v>215</v>
      </c>
      <c r="B197" s="75"/>
      <c r="C197" s="64" t="s">
        <v>214</v>
      </c>
      <c r="D197" s="56" t="s">
        <v>36</v>
      </c>
      <c r="E197" s="56" t="s">
        <v>41</v>
      </c>
      <c r="F197" s="42"/>
      <c r="G197" s="45">
        <v>0</v>
      </c>
      <c r="H197" s="45">
        <f>H198</f>
        <v>150</v>
      </c>
      <c r="I197" s="45">
        <f>I198</f>
        <v>150</v>
      </c>
    </row>
    <row r="198" spans="1:9" ht="25.5" x14ac:dyDescent="0.2">
      <c r="A198" s="41" t="s">
        <v>83</v>
      </c>
      <c r="B198" s="59"/>
      <c r="C198" s="64" t="s">
        <v>214</v>
      </c>
      <c r="D198" s="56" t="s">
        <v>36</v>
      </c>
      <c r="E198" s="56" t="s">
        <v>41</v>
      </c>
      <c r="F198" s="42">
        <v>240</v>
      </c>
      <c r="G198" s="45">
        <v>0</v>
      </c>
      <c r="H198" s="45">
        <v>150</v>
      </c>
      <c r="I198" s="45">
        <v>150</v>
      </c>
    </row>
    <row r="199" spans="1:9" ht="13.5" customHeight="1" x14ac:dyDescent="0.2">
      <c r="A199" s="41" t="s">
        <v>226</v>
      </c>
      <c r="B199" s="59"/>
      <c r="C199" s="64" t="s">
        <v>99</v>
      </c>
      <c r="D199" s="56" t="s">
        <v>36</v>
      </c>
      <c r="E199" s="56" t="s">
        <v>41</v>
      </c>
      <c r="F199" s="42"/>
      <c r="G199" s="45">
        <f>G200</f>
        <v>115.8</v>
      </c>
      <c r="H199" s="45">
        <f>H200</f>
        <v>115.8</v>
      </c>
      <c r="I199" s="45">
        <f>I200</f>
        <v>115.8</v>
      </c>
    </row>
    <row r="200" spans="1:9" ht="30" customHeight="1" x14ac:dyDescent="0.2">
      <c r="A200" s="41" t="s">
        <v>83</v>
      </c>
      <c r="B200" s="59"/>
      <c r="C200" s="64" t="s">
        <v>99</v>
      </c>
      <c r="D200" s="56" t="s">
        <v>36</v>
      </c>
      <c r="E200" s="56" t="s">
        <v>41</v>
      </c>
      <c r="F200" s="42">
        <v>240</v>
      </c>
      <c r="G200" s="45">
        <v>115.8</v>
      </c>
      <c r="H200" s="45">
        <v>115.8</v>
      </c>
      <c r="I200" s="45">
        <v>115.8</v>
      </c>
    </row>
    <row r="201" spans="1:9" ht="27.6" customHeight="1" x14ac:dyDescent="0.2">
      <c r="A201" s="41" t="s">
        <v>65</v>
      </c>
      <c r="B201" s="59"/>
      <c r="C201" s="64" t="s">
        <v>100</v>
      </c>
      <c r="D201" s="56" t="s">
        <v>36</v>
      </c>
      <c r="E201" s="56" t="s">
        <v>41</v>
      </c>
      <c r="F201" s="42"/>
      <c r="G201" s="45">
        <f>G202</f>
        <v>6.282</v>
      </c>
      <c r="H201" s="45">
        <f>H202</f>
        <v>6.5579999999999998</v>
      </c>
      <c r="I201" s="45">
        <f>I202</f>
        <v>6.8209999999999997</v>
      </c>
    </row>
    <row r="202" spans="1:9" x14ac:dyDescent="0.2">
      <c r="A202" s="60" t="s">
        <v>82</v>
      </c>
      <c r="B202" s="59"/>
      <c r="C202" s="64" t="s">
        <v>100</v>
      </c>
      <c r="D202" s="56" t="s">
        <v>36</v>
      </c>
      <c r="E202" s="56" t="s">
        <v>41</v>
      </c>
      <c r="F202" s="42">
        <v>850</v>
      </c>
      <c r="G202" s="45">
        <v>6.282</v>
      </c>
      <c r="H202" s="45">
        <v>6.5579999999999998</v>
      </c>
      <c r="I202" s="45">
        <v>6.8209999999999997</v>
      </c>
    </row>
    <row r="203" spans="1:9" ht="25.5" x14ac:dyDescent="0.2">
      <c r="A203" s="41" t="s">
        <v>66</v>
      </c>
      <c r="B203" s="59"/>
      <c r="C203" s="64" t="s">
        <v>101</v>
      </c>
      <c r="D203" s="56" t="s">
        <v>36</v>
      </c>
      <c r="E203" s="56" t="s">
        <v>41</v>
      </c>
      <c r="F203" s="42"/>
      <c r="G203" s="45">
        <f>G204</f>
        <v>414.91800000000001</v>
      </c>
      <c r="H203" s="45">
        <f>H204</f>
        <v>191.38399999999999</v>
      </c>
      <c r="I203" s="45">
        <f>I204</f>
        <v>199.03899999999999</v>
      </c>
    </row>
    <row r="204" spans="1:9" ht="25.5" x14ac:dyDescent="0.2">
      <c r="A204" s="41" t="s">
        <v>83</v>
      </c>
      <c r="B204" s="59"/>
      <c r="C204" s="64" t="s">
        <v>101</v>
      </c>
      <c r="D204" s="56" t="s">
        <v>36</v>
      </c>
      <c r="E204" s="56" t="s">
        <v>41</v>
      </c>
      <c r="F204" s="42">
        <v>240</v>
      </c>
      <c r="G204" s="45">
        <f>183.318+49+200-17.4</f>
        <v>414.91800000000001</v>
      </c>
      <c r="H204" s="45">
        <v>191.38399999999999</v>
      </c>
      <c r="I204" s="45">
        <v>199.03899999999999</v>
      </c>
    </row>
    <row r="205" spans="1:9" ht="51" x14ac:dyDescent="0.2">
      <c r="A205" s="60" t="s">
        <v>227</v>
      </c>
      <c r="B205" s="59"/>
      <c r="C205" s="64" t="s">
        <v>105</v>
      </c>
      <c r="D205" s="56" t="s">
        <v>36</v>
      </c>
      <c r="E205" s="56" t="s">
        <v>41</v>
      </c>
      <c r="F205" s="42"/>
      <c r="G205" s="45">
        <f>G206</f>
        <v>24</v>
      </c>
      <c r="H205" s="45">
        <f>H206</f>
        <v>24</v>
      </c>
      <c r="I205" s="45">
        <f>I206</f>
        <v>24</v>
      </c>
    </row>
    <row r="206" spans="1:9" x14ac:dyDescent="0.2">
      <c r="A206" s="41" t="s">
        <v>56</v>
      </c>
      <c r="B206" s="59"/>
      <c r="C206" s="64" t="s">
        <v>105</v>
      </c>
      <c r="D206" s="56" t="s">
        <v>36</v>
      </c>
      <c r="E206" s="56" t="s">
        <v>41</v>
      </c>
      <c r="F206" s="42">
        <v>540</v>
      </c>
      <c r="G206" s="45">
        <v>24</v>
      </c>
      <c r="H206" s="45">
        <v>24</v>
      </c>
      <c r="I206" s="45">
        <v>24</v>
      </c>
    </row>
    <row r="207" spans="1:9" x14ac:dyDescent="0.2">
      <c r="A207" s="41" t="s">
        <v>68</v>
      </c>
      <c r="B207" s="59"/>
      <c r="C207" s="64" t="s">
        <v>103</v>
      </c>
      <c r="D207" s="56" t="s">
        <v>36</v>
      </c>
      <c r="E207" s="56" t="s">
        <v>41</v>
      </c>
      <c r="F207" s="42"/>
      <c r="G207" s="45">
        <f>G208</f>
        <v>0</v>
      </c>
      <c r="H207" s="45">
        <f>H208</f>
        <v>10</v>
      </c>
      <c r="I207" s="45">
        <f>I208</f>
        <v>10</v>
      </c>
    </row>
    <row r="208" spans="1:9" ht="25.5" x14ac:dyDescent="0.2">
      <c r="A208" s="41" t="s">
        <v>83</v>
      </c>
      <c r="B208" s="59"/>
      <c r="C208" s="64" t="s">
        <v>103</v>
      </c>
      <c r="D208" s="56" t="s">
        <v>36</v>
      </c>
      <c r="E208" s="56" t="s">
        <v>41</v>
      </c>
      <c r="F208" s="42">
        <v>240</v>
      </c>
      <c r="G208" s="45">
        <v>0</v>
      </c>
      <c r="H208" s="45">
        <v>10</v>
      </c>
      <c r="I208" s="45">
        <v>10</v>
      </c>
    </row>
    <row r="209" spans="1:10" ht="25.5" x14ac:dyDescent="0.2">
      <c r="A209" s="41" t="s">
        <v>67</v>
      </c>
      <c r="B209" s="59"/>
      <c r="C209" s="64" t="s">
        <v>102</v>
      </c>
      <c r="D209" s="56" t="s">
        <v>36</v>
      </c>
      <c r="E209" s="56" t="s">
        <v>41</v>
      </c>
      <c r="F209" s="42"/>
      <c r="G209" s="45">
        <f>G210</f>
        <v>0.4350000000000005</v>
      </c>
      <c r="H209" s="45">
        <f>H210</f>
        <v>5.4649999999999999</v>
      </c>
      <c r="I209" s="45">
        <f>I210</f>
        <v>5.6840000000000002</v>
      </c>
    </row>
    <row r="210" spans="1:10" ht="25.5" x14ac:dyDescent="0.2">
      <c r="A210" s="41" t="s">
        <v>83</v>
      </c>
      <c r="B210" s="59"/>
      <c r="C210" s="64" t="s">
        <v>102</v>
      </c>
      <c r="D210" s="56" t="s">
        <v>36</v>
      </c>
      <c r="E210" s="56" t="s">
        <v>41</v>
      </c>
      <c r="F210" s="42">
        <v>240</v>
      </c>
      <c r="G210" s="45">
        <f>5.235-4.8</f>
        <v>0.4350000000000005</v>
      </c>
      <c r="H210" s="45">
        <v>5.4649999999999999</v>
      </c>
      <c r="I210" s="45">
        <v>5.6840000000000002</v>
      </c>
    </row>
    <row r="211" spans="1:10" x14ac:dyDescent="0.2">
      <c r="A211" s="37" t="s">
        <v>14</v>
      </c>
      <c r="B211" s="59"/>
      <c r="C211" s="39"/>
      <c r="D211" s="39" t="s">
        <v>42</v>
      </c>
      <c r="E211" s="39" t="s">
        <v>37</v>
      </c>
      <c r="F211" s="42"/>
      <c r="G211" s="40">
        <f t="shared" ref="G211:I214" si="24">SUM(G212)</f>
        <v>254.4</v>
      </c>
      <c r="H211" s="40">
        <f t="shared" si="24"/>
        <v>0</v>
      </c>
      <c r="I211" s="40">
        <f t="shared" si="24"/>
        <v>0</v>
      </c>
    </row>
    <row r="212" spans="1:10" x14ac:dyDescent="0.2">
      <c r="A212" s="41" t="s">
        <v>20</v>
      </c>
      <c r="B212" s="59"/>
      <c r="C212" s="56"/>
      <c r="D212" s="56" t="s">
        <v>42</v>
      </c>
      <c r="E212" s="56" t="s">
        <v>38</v>
      </c>
      <c r="F212" s="42"/>
      <c r="G212" s="45">
        <f t="shared" si="24"/>
        <v>254.4</v>
      </c>
      <c r="H212" s="45">
        <f t="shared" si="24"/>
        <v>0</v>
      </c>
      <c r="I212" s="45">
        <f t="shared" si="24"/>
        <v>0</v>
      </c>
    </row>
    <row r="213" spans="1:10" x14ac:dyDescent="0.2">
      <c r="A213" s="54" t="s">
        <v>61</v>
      </c>
      <c r="B213" s="59"/>
      <c r="C213" s="55" t="s">
        <v>93</v>
      </c>
      <c r="D213" s="56" t="s">
        <v>42</v>
      </c>
      <c r="E213" s="56" t="s">
        <v>38</v>
      </c>
      <c r="F213" s="42"/>
      <c r="G213" s="45">
        <f t="shared" si="24"/>
        <v>254.4</v>
      </c>
      <c r="H213" s="45">
        <f t="shared" si="24"/>
        <v>0</v>
      </c>
      <c r="I213" s="45">
        <f t="shared" si="24"/>
        <v>0</v>
      </c>
    </row>
    <row r="214" spans="1:10" x14ac:dyDescent="0.2">
      <c r="A214" s="54" t="s">
        <v>81</v>
      </c>
      <c r="B214" s="59"/>
      <c r="C214" s="55" t="s">
        <v>94</v>
      </c>
      <c r="D214" s="56" t="s">
        <v>42</v>
      </c>
      <c r="E214" s="56" t="s">
        <v>38</v>
      </c>
      <c r="F214" s="42"/>
      <c r="G214" s="45">
        <f>SUM(G215)+G217</f>
        <v>254.4</v>
      </c>
      <c r="H214" s="45">
        <f t="shared" si="24"/>
        <v>0</v>
      </c>
      <c r="I214" s="45">
        <f t="shared" si="24"/>
        <v>0</v>
      </c>
    </row>
    <row r="215" spans="1:10" ht="25.5" x14ac:dyDescent="0.2">
      <c r="A215" s="41" t="s">
        <v>33</v>
      </c>
      <c r="B215" s="59"/>
      <c r="C215" s="42" t="s">
        <v>106</v>
      </c>
      <c r="D215" s="56" t="s">
        <v>42</v>
      </c>
      <c r="E215" s="56" t="s">
        <v>38</v>
      </c>
      <c r="F215" s="42"/>
      <c r="G215" s="45">
        <f>G216</f>
        <v>230.8</v>
      </c>
      <c r="H215" s="45">
        <f>H216</f>
        <v>0</v>
      </c>
      <c r="I215" s="45">
        <f>I216</f>
        <v>0</v>
      </c>
    </row>
    <row r="216" spans="1:10" ht="25.5" x14ac:dyDescent="0.2">
      <c r="A216" s="63" t="s">
        <v>85</v>
      </c>
      <c r="B216" s="59"/>
      <c r="C216" s="55" t="s">
        <v>106</v>
      </c>
      <c r="D216" s="56" t="s">
        <v>42</v>
      </c>
      <c r="E216" s="56" t="s">
        <v>38</v>
      </c>
      <c r="F216" s="62">
        <v>120</v>
      </c>
      <c r="G216" s="45">
        <v>230.8</v>
      </c>
      <c r="H216" s="45"/>
      <c r="I216" s="45"/>
    </row>
    <row r="217" spans="1:10" ht="25.5" x14ac:dyDescent="0.2">
      <c r="A217" s="41" t="s">
        <v>83</v>
      </c>
      <c r="B217" s="59"/>
      <c r="C217" s="55" t="s">
        <v>106</v>
      </c>
      <c r="D217" s="56" t="s">
        <v>42</v>
      </c>
      <c r="E217" s="56" t="s">
        <v>38</v>
      </c>
      <c r="F217" s="42">
        <v>240</v>
      </c>
      <c r="G217" s="45">
        <f>22+1.6</f>
        <v>23.6</v>
      </c>
      <c r="H217" s="45"/>
      <c r="I217" s="45"/>
    </row>
    <row r="218" spans="1:10" ht="29.25" x14ac:dyDescent="0.25">
      <c r="A218" s="33" t="s">
        <v>32</v>
      </c>
      <c r="B218" s="50">
        <v>911</v>
      </c>
      <c r="C218" s="49"/>
      <c r="D218" s="49" t="s">
        <v>38</v>
      </c>
      <c r="E218" s="49" t="s">
        <v>37</v>
      </c>
      <c r="F218" s="49"/>
      <c r="G218" s="111">
        <f t="shared" ref="G218:I222" si="25">G219</f>
        <v>493.9</v>
      </c>
      <c r="H218" s="111">
        <f t="shared" si="25"/>
        <v>468</v>
      </c>
      <c r="I218" s="111">
        <f t="shared" si="25"/>
        <v>468</v>
      </c>
      <c r="J218" s="52"/>
    </row>
    <row r="219" spans="1:10" ht="25.5" x14ac:dyDescent="0.2">
      <c r="A219" s="37" t="s">
        <v>228</v>
      </c>
      <c r="B219" s="57"/>
      <c r="C219" s="42"/>
      <c r="D219" s="43" t="s">
        <v>38</v>
      </c>
      <c r="E219" s="43" t="s">
        <v>229</v>
      </c>
      <c r="F219" s="44"/>
      <c r="G219" s="112">
        <f t="shared" si="25"/>
        <v>493.9</v>
      </c>
      <c r="H219" s="112">
        <f t="shared" si="25"/>
        <v>468</v>
      </c>
      <c r="I219" s="112">
        <f t="shared" si="25"/>
        <v>468</v>
      </c>
    </row>
    <row r="220" spans="1:10" x14ac:dyDescent="0.2">
      <c r="A220" s="54" t="s">
        <v>61</v>
      </c>
      <c r="B220" s="55"/>
      <c r="C220" s="98" t="s">
        <v>93</v>
      </c>
      <c r="D220" s="43" t="s">
        <v>38</v>
      </c>
      <c r="E220" s="43" t="s">
        <v>229</v>
      </c>
      <c r="F220" s="55"/>
      <c r="G220" s="112">
        <f t="shared" si="25"/>
        <v>493.9</v>
      </c>
      <c r="H220" s="112">
        <f t="shared" si="25"/>
        <v>468</v>
      </c>
      <c r="I220" s="112">
        <f t="shared" si="25"/>
        <v>468</v>
      </c>
    </row>
    <row r="221" spans="1:10" x14ac:dyDescent="0.2">
      <c r="A221" s="54" t="s">
        <v>81</v>
      </c>
      <c r="B221" s="55"/>
      <c r="C221" s="98" t="s">
        <v>94</v>
      </c>
      <c r="D221" s="43" t="s">
        <v>38</v>
      </c>
      <c r="E221" s="43" t="s">
        <v>229</v>
      </c>
      <c r="F221" s="42"/>
      <c r="G221" s="112">
        <f t="shared" si="25"/>
        <v>493.9</v>
      </c>
      <c r="H221" s="112">
        <f t="shared" si="25"/>
        <v>468</v>
      </c>
      <c r="I221" s="112">
        <f t="shared" si="25"/>
        <v>468</v>
      </c>
    </row>
    <row r="222" spans="1:10" x14ac:dyDescent="0.2">
      <c r="A222" s="54" t="s">
        <v>81</v>
      </c>
      <c r="B222" s="55"/>
      <c r="C222" s="98" t="s">
        <v>111</v>
      </c>
      <c r="D222" s="43" t="s">
        <v>38</v>
      </c>
      <c r="E222" s="43" t="s">
        <v>229</v>
      </c>
      <c r="F222" s="42"/>
      <c r="G222" s="112">
        <f t="shared" si="25"/>
        <v>493.9</v>
      </c>
      <c r="H222" s="112">
        <f t="shared" si="25"/>
        <v>468</v>
      </c>
      <c r="I222" s="112">
        <f t="shared" si="25"/>
        <v>468</v>
      </c>
    </row>
    <row r="223" spans="1:10" ht="38.25" x14ac:dyDescent="0.2">
      <c r="A223" s="113" t="s">
        <v>62</v>
      </c>
      <c r="B223" s="55"/>
      <c r="C223" s="42" t="s">
        <v>104</v>
      </c>
      <c r="D223" s="43" t="s">
        <v>38</v>
      </c>
      <c r="E223" s="43" t="s">
        <v>229</v>
      </c>
      <c r="F223" s="55"/>
      <c r="G223" s="112">
        <f>G224+G225</f>
        <v>493.9</v>
      </c>
      <c r="H223" s="112">
        <f>H224+H225</f>
        <v>468</v>
      </c>
      <c r="I223" s="112">
        <f>I224+I225</f>
        <v>468</v>
      </c>
    </row>
    <row r="224" spans="1:10" ht="25.5" x14ac:dyDescent="0.2">
      <c r="A224" s="63" t="s">
        <v>85</v>
      </c>
      <c r="B224" s="55"/>
      <c r="C224" s="42" t="s">
        <v>104</v>
      </c>
      <c r="D224" s="43" t="s">
        <v>38</v>
      </c>
      <c r="E224" s="43" t="s">
        <v>229</v>
      </c>
      <c r="F224" s="42">
        <v>120</v>
      </c>
      <c r="G224" s="112">
        <v>457.5</v>
      </c>
      <c r="H224" s="77">
        <v>457.5</v>
      </c>
      <c r="I224" s="77">
        <v>457.5</v>
      </c>
    </row>
    <row r="225" spans="1:9" ht="25.5" x14ac:dyDescent="0.2">
      <c r="A225" s="41" t="s">
        <v>83</v>
      </c>
      <c r="B225" s="55"/>
      <c r="C225" s="42" t="s">
        <v>104</v>
      </c>
      <c r="D225" s="43" t="s">
        <v>38</v>
      </c>
      <c r="E225" s="43" t="s">
        <v>229</v>
      </c>
      <c r="F225" s="42">
        <v>240</v>
      </c>
      <c r="G225" s="77">
        <v>36.4</v>
      </c>
      <c r="H225" s="77">
        <v>10.5</v>
      </c>
      <c r="I225" s="77">
        <v>10.5</v>
      </c>
    </row>
    <row r="226" spans="1:9" x14ac:dyDescent="0.2">
      <c r="A226" s="57" t="s">
        <v>34</v>
      </c>
      <c r="B226" s="55"/>
      <c r="C226" s="56"/>
      <c r="D226" s="56" t="s">
        <v>39</v>
      </c>
      <c r="E226" s="56" t="s">
        <v>44</v>
      </c>
      <c r="F226" s="42"/>
      <c r="G226" s="45">
        <f t="shared" ref="G226:I229" si="26">SUM(G227)</f>
        <v>198</v>
      </c>
      <c r="H226" s="45">
        <f t="shared" si="26"/>
        <v>0</v>
      </c>
      <c r="I226" s="45">
        <f t="shared" si="26"/>
        <v>0</v>
      </c>
    </row>
    <row r="227" spans="1:9" x14ac:dyDescent="0.2">
      <c r="A227" s="127" t="s">
        <v>61</v>
      </c>
      <c r="B227" s="55"/>
      <c r="C227" s="67" t="s">
        <v>93</v>
      </c>
      <c r="D227" s="56" t="s">
        <v>39</v>
      </c>
      <c r="E227" s="56" t="s">
        <v>44</v>
      </c>
      <c r="F227" s="42"/>
      <c r="G227" s="45">
        <f t="shared" si="26"/>
        <v>198</v>
      </c>
      <c r="H227" s="45">
        <f t="shared" si="26"/>
        <v>0</v>
      </c>
      <c r="I227" s="45">
        <f t="shared" si="26"/>
        <v>0</v>
      </c>
    </row>
    <row r="228" spans="1:9" x14ac:dyDescent="0.2">
      <c r="A228" s="127" t="s">
        <v>61</v>
      </c>
      <c r="B228" s="55"/>
      <c r="C228" s="42" t="s">
        <v>94</v>
      </c>
      <c r="D228" s="56" t="s">
        <v>39</v>
      </c>
      <c r="E228" s="56" t="s">
        <v>44</v>
      </c>
      <c r="F228" s="42"/>
      <c r="G228" s="45">
        <f t="shared" si="26"/>
        <v>198</v>
      </c>
      <c r="H228" s="45">
        <f t="shared" si="26"/>
        <v>0</v>
      </c>
      <c r="I228" s="45">
        <f t="shared" si="26"/>
        <v>0</v>
      </c>
    </row>
    <row r="229" spans="1:9" x14ac:dyDescent="0.2">
      <c r="A229" s="75" t="s">
        <v>70</v>
      </c>
      <c r="B229" s="55"/>
      <c r="C229" s="42" t="s">
        <v>202</v>
      </c>
      <c r="D229" s="56" t="s">
        <v>39</v>
      </c>
      <c r="E229" s="56" t="s">
        <v>44</v>
      </c>
      <c r="F229" s="42"/>
      <c r="G229" s="45">
        <f t="shared" si="26"/>
        <v>198</v>
      </c>
      <c r="H229" s="45">
        <f t="shared" si="26"/>
        <v>0</v>
      </c>
      <c r="I229" s="45">
        <f t="shared" si="26"/>
        <v>0</v>
      </c>
    </row>
    <row r="230" spans="1:9" ht="25.5" x14ac:dyDescent="0.2">
      <c r="A230" s="53" t="s">
        <v>83</v>
      </c>
      <c r="B230" s="55"/>
      <c r="C230" s="42" t="s">
        <v>202</v>
      </c>
      <c r="D230" s="56" t="s">
        <v>39</v>
      </c>
      <c r="E230" s="56" t="s">
        <v>44</v>
      </c>
      <c r="F230" s="42"/>
      <c r="G230" s="45">
        <v>198</v>
      </c>
      <c r="H230" s="45"/>
      <c r="I230" s="45"/>
    </row>
    <row r="231" spans="1:9" ht="15" x14ac:dyDescent="0.25">
      <c r="A231" s="37" t="s">
        <v>8</v>
      </c>
      <c r="B231" s="50">
        <v>911</v>
      </c>
      <c r="C231" s="39"/>
      <c r="D231" s="39" t="s">
        <v>45</v>
      </c>
      <c r="E231" s="39" t="s">
        <v>37</v>
      </c>
      <c r="F231" s="42"/>
      <c r="G231" s="36">
        <f>G232+G242</f>
        <v>5118.4130000000005</v>
      </c>
      <c r="H231" s="36">
        <f t="shared" ref="G231:I234" si="27">H232</f>
        <v>238.78</v>
      </c>
      <c r="I231" s="36">
        <f t="shared" si="27"/>
        <v>238.78</v>
      </c>
    </row>
    <row r="232" spans="1:9" x14ac:dyDescent="0.2">
      <c r="A232" s="41" t="s">
        <v>22</v>
      </c>
      <c r="B232" s="85"/>
      <c r="C232" s="56"/>
      <c r="D232" s="86" t="s">
        <v>45</v>
      </c>
      <c r="E232" s="86" t="s">
        <v>36</v>
      </c>
      <c r="F232" s="42"/>
      <c r="G232" s="45">
        <f t="shared" si="27"/>
        <v>3722.614</v>
      </c>
      <c r="H232" s="45">
        <f t="shared" si="27"/>
        <v>238.78</v>
      </c>
      <c r="I232" s="45">
        <f t="shared" si="27"/>
        <v>238.78</v>
      </c>
    </row>
    <row r="233" spans="1:9" x14ac:dyDescent="0.2">
      <c r="A233" s="54" t="s">
        <v>61</v>
      </c>
      <c r="B233" s="85"/>
      <c r="C233" s="55" t="s">
        <v>93</v>
      </c>
      <c r="D233" s="56" t="s">
        <v>45</v>
      </c>
      <c r="E233" s="56" t="s">
        <v>36</v>
      </c>
      <c r="F233" s="56"/>
      <c r="G233" s="45">
        <f t="shared" si="27"/>
        <v>3722.614</v>
      </c>
      <c r="H233" s="45">
        <f t="shared" si="27"/>
        <v>238.78</v>
      </c>
      <c r="I233" s="45">
        <f t="shared" si="27"/>
        <v>238.78</v>
      </c>
    </row>
    <row r="234" spans="1:9" x14ac:dyDescent="0.2">
      <c r="A234" s="54" t="s">
        <v>169</v>
      </c>
      <c r="B234" s="85"/>
      <c r="C234" s="66" t="s">
        <v>94</v>
      </c>
      <c r="D234" s="56" t="s">
        <v>45</v>
      </c>
      <c r="E234" s="56" t="s">
        <v>36</v>
      </c>
      <c r="F234" s="56"/>
      <c r="G234" s="45">
        <f t="shared" si="27"/>
        <v>3722.614</v>
      </c>
      <c r="H234" s="45">
        <f t="shared" si="27"/>
        <v>238.78</v>
      </c>
      <c r="I234" s="45">
        <f t="shared" si="27"/>
        <v>238.78</v>
      </c>
    </row>
    <row r="235" spans="1:9" x14ac:dyDescent="0.2">
      <c r="A235" s="54" t="s">
        <v>169</v>
      </c>
      <c r="B235" s="85"/>
      <c r="C235" s="66" t="s">
        <v>111</v>
      </c>
      <c r="D235" s="56" t="s">
        <v>45</v>
      </c>
      <c r="E235" s="56" t="s">
        <v>36</v>
      </c>
      <c r="F235" s="56"/>
      <c r="G235" s="45">
        <f>G236+G238+G240</f>
        <v>3722.614</v>
      </c>
      <c r="H235" s="45">
        <v>238.78</v>
      </c>
      <c r="I235" s="45">
        <v>238.78</v>
      </c>
    </row>
    <row r="236" spans="1:9" x14ac:dyDescent="0.2">
      <c r="A236" s="54" t="s">
        <v>179</v>
      </c>
      <c r="B236" s="85"/>
      <c r="C236" s="67" t="s">
        <v>176</v>
      </c>
      <c r="D236" s="56" t="s">
        <v>45</v>
      </c>
      <c r="E236" s="56" t="s">
        <v>36</v>
      </c>
      <c r="F236" s="56"/>
      <c r="G236" s="45">
        <f>G237</f>
        <v>10.634</v>
      </c>
      <c r="H236" s="45">
        <f>H237</f>
        <v>10</v>
      </c>
      <c r="I236" s="45">
        <f>I237</f>
        <v>10</v>
      </c>
    </row>
    <row r="237" spans="1:9" ht="25.5" x14ac:dyDescent="0.2">
      <c r="A237" s="41" t="s">
        <v>83</v>
      </c>
      <c r="B237" s="85"/>
      <c r="C237" s="67" t="s">
        <v>176</v>
      </c>
      <c r="D237" s="56" t="s">
        <v>45</v>
      </c>
      <c r="E237" s="56" t="s">
        <v>36</v>
      </c>
      <c r="F237" s="44" t="s">
        <v>84</v>
      </c>
      <c r="G237" s="45">
        <f>10+0.634</f>
        <v>10.634</v>
      </c>
      <c r="H237" s="45">
        <v>10</v>
      </c>
      <c r="I237" s="45">
        <v>10</v>
      </c>
    </row>
    <row r="238" spans="1:9" x14ac:dyDescent="0.2">
      <c r="A238" s="54" t="s">
        <v>236</v>
      </c>
      <c r="B238" s="85"/>
      <c r="C238" s="55" t="s">
        <v>112</v>
      </c>
      <c r="D238" s="56" t="s">
        <v>45</v>
      </c>
      <c r="E238" s="56" t="s">
        <v>36</v>
      </c>
      <c r="F238" s="44"/>
      <c r="G238" s="45">
        <f>G239</f>
        <v>215.48</v>
      </c>
      <c r="H238" s="45">
        <f>H239</f>
        <v>228.78</v>
      </c>
      <c r="I238" s="45">
        <f>I239</f>
        <v>228.78</v>
      </c>
    </row>
    <row r="239" spans="1:9" ht="25.5" x14ac:dyDescent="0.2">
      <c r="A239" s="41" t="s">
        <v>83</v>
      </c>
      <c r="B239" s="59"/>
      <c r="C239" s="42" t="s">
        <v>112</v>
      </c>
      <c r="D239" s="56" t="s">
        <v>45</v>
      </c>
      <c r="E239" s="56" t="s">
        <v>36</v>
      </c>
      <c r="F239" s="44" t="s">
        <v>84</v>
      </c>
      <c r="G239" s="45">
        <f>228.78-13.3</f>
        <v>215.48</v>
      </c>
      <c r="H239" s="45">
        <v>228.78</v>
      </c>
      <c r="I239" s="45">
        <v>228.78</v>
      </c>
    </row>
    <row r="240" spans="1:9" ht="25.5" x14ac:dyDescent="0.2">
      <c r="A240" s="53" t="s">
        <v>260</v>
      </c>
      <c r="B240" s="53"/>
      <c r="C240" s="43" t="s">
        <v>261</v>
      </c>
      <c r="D240" s="56" t="s">
        <v>45</v>
      </c>
      <c r="E240" s="56" t="s">
        <v>36</v>
      </c>
      <c r="F240" s="43"/>
      <c r="G240" s="114">
        <f>G241</f>
        <v>3496.5</v>
      </c>
      <c r="H240" s="45"/>
      <c r="I240" s="45"/>
    </row>
    <row r="241" spans="1:9" ht="51" x14ac:dyDescent="0.2">
      <c r="A241" s="53" t="s">
        <v>262</v>
      </c>
      <c r="B241" s="53"/>
      <c r="C241" s="43" t="s">
        <v>261</v>
      </c>
      <c r="D241" s="56" t="s">
        <v>45</v>
      </c>
      <c r="E241" s="56" t="s">
        <v>36</v>
      </c>
      <c r="F241" s="43" t="s">
        <v>263</v>
      </c>
      <c r="G241" s="114">
        <v>3496.5</v>
      </c>
      <c r="H241" s="45"/>
      <c r="I241" s="45"/>
    </row>
    <row r="242" spans="1:9" x14ac:dyDescent="0.2">
      <c r="A242" s="41" t="s">
        <v>22</v>
      </c>
      <c r="B242" s="50">
        <v>911</v>
      </c>
      <c r="C242" s="43"/>
      <c r="D242" s="86" t="s">
        <v>45</v>
      </c>
      <c r="E242" s="86" t="s">
        <v>42</v>
      </c>
      <c r="F242" s="43"/>
      <c r="G242" s="74">
        <f>G243</f>
        <v>1395.7990000000002</v>
      </c>
      <c r="H242" s="45"/>
      <c r="I242" s="45"/>
    </row>
    <row r="243" spans="1:9" x14ac:dyDescent="0.2">
      <c r="A243" s="54" t="s">
        <v>61</v>
      </c>
      <c r="B243" s="57"/>
      <c r="C243" s="55" t="s">
        <v>93</v>
      </c>
      <c r="D243" s="43" t="s">
        <v>45</v>
      </c>
      <c r="E243" s="43" t="s">
        <v>42</v>
      </c>
      <c r="F243" s="43"/>
      <c r="G243" s="45">
        <f>G244</f>
        <v>1395.7990000000002</v>
      </c>
      <c r="H243" s="45"/>
      <c r="I243" s="45"/>
    </row>
    <row r="244" spans="1:9" x14ac:dyDescent="0.2">
      <c r="A244" s="54" t="s">
        <v>169</v>
      </c>
      <c r="B244" s="57"/>
      <c r="C244" s="55" t="s">
        <v>94</v>
      </c>
      <c r="D244" s="43" t="s">
        <v>45</v>
      </c>
      <c r="E244" s="43" t="s">
        <v>42</v>
      </c>
      <c r="F244" s="43"/>
      <c r="G244" s="45">
        <f>G245</f>
        <v>1395.7990000000002</v>
      </c>
      <c r="H244" s="45"/>
      <c r="I244" s="45"/>
    </row>
    <row r="245" spans="1:9" x14ac:dyDescent="0.2">
      <c r="A245" s="54" t="s">
        <v>169</v>
      </c>
      <c r="B245" s="57"/>
      <c r="C245" s="42" t="s">
        <v>111</v>
      </c>
      <c r="D245" s="43" t="s">
        <v>45</v>
      </c>
      <c r="E245" s="43" t="s">
        <v>42</v>
      </c>
      <c r="F245" s="43"/>
      <c r="G245" s="45">
        <f>G246+G249+G250+G252+G255</f>
        <v>1395.7990000000002</v>
      </c>
      <c r="H245" s="45"/>
      <c r="I245" s="45"/>
    </row>
    <row r="246" spans="1:9" ht="105" x14ac:dyDescent="0.25">
      <c r="A246" s="115" t="s">
        <v>265</v>
      </c>
      <c r="B246" s="53"/>
      <c r="C246" s="67" t="s">
        <v>266</v>
      </c>
      <c r="D246" s="43" t="s">
        <v>45</v>
      </c>
      <c r="E246" s="43" t="s">
        <v>42</v>
      </c>
      <c r="F246" s="43"/>
      <c r="G246" s="45">
        <f>G247</f>
        <v>180</v>
      </c>
      <c r="H246" s="45"/>
      <c r="I246" s="45"/>
    </row>
    <row r="247" spans="1:9" ht="25.5" x14ac:dyDescent="0.2">
      <c r="A247" s="53" t="s">
        <v>83</v>
      </c>
      <c r="B247" s="53"/>
      <c r="C247" s="67" t="s">
        <v>266</v>
      </c>
      <c r="D247" s="43" t="s">
        <v>45</v>
      </c>
      <c r="E247" s="43" t="s">
        <v>42</v>
      </c>
      <c r="F247" s="44" t="s">
        <v>84</v>
      </c>
      <c r="G247" s="45">
        <f>42.9+180-42.9</f>
        <v>180</v>
      </c>
      <c r="H247" s="45"/>
      <c r="I247" s="45"/>
    </row>
    <row r="248" spans="1:9" ht="25.5" x14ac:dyDescent="0.2">
      <c r="A248" s="53" t="s">
        <v>275</v>
      </c>
      <c r="B248" s="53"/>
      <c r="C248" s="67" t="s">
        <v>274</v>
      </c>
      <c r="D248" s="43" t="s">
        <v>45</v>
      </c>
      <c r="E248" s="43" t="s">
        <v>42</v>
      </c>
      <c r="F248" s="43"/>
      <c r="G248" s="45">
        <f>G249</f>
        <v>199.999</v>
      </c>
      <c r="H248" s="45"/>
      <c r="I248" s="45"/>
    </row>
    <row r="249" spans="1:9" ht="25.5" x14ac:dyDescent="0.2">
      <c r="A249" s="53" t="s">
        <v>83</v>
      </c>
      <c r="B249" s="53"/>
      <c r="C249" s="67" t="s">
        <v>274</v>
      </c>
      <c r="D249" s="43" t="s">
        <v>45</v>
      </c>
      <c r="E249" s="43" t="s">
        <v>42</v>
      </c>
      <c r="F249" s="44" t="s">
        <v>84</v>
      </c>
      <c r="G249" s="45">
        <f>100+99.999</f>
        <v>199.999</v>
      </c>
      <c r="H249" s="45"/>
      <c r="I249" s="45"/>
    </row>
    <row r="250" spans="1:9" ht="25.5" x14ac:dyDescent="0.2">
      <c r="A250" s="53" t="s">
        <v>308</v>
      </c>
      <c r="B250" s="53"/>
      <c r="C250" s="67" t="s">
        <v>306</v>
      </c>
      <c r="D250" s="43" t="s">
        <v>45</v>
      </c>
      <c r="E250" s="43" t="s">
        <v>42</v>
      </c>
      <c r="F250" s="44"/>
      <c r="G250" s="45">
        <f>G251</f>
        <v>0</v>
      </c>
      <c r="H250" s="45"/>
      <c r="I250" s="45"/>
    </row>
    <row r="251" spans="1:9" ht="30" customHeight="1" x14ac:dyDescent="0.2">
      <c r="A251" s="53" t="s">
        <v>309</v>
      </c>
      <c r="B251" s="53"/>
      <c r="C251" s="67" t="s">
        <v>306</v>
      </c>
      <c r="D251" s="43" t="s">
        <v>45</v>
      </c>
      <c r="E251" s="43" t="s">
        <v>42</v>
      </c>
      <c r="F251" s="43" t="s">
        <v>307</v>
      </c>
      <c r="G251" s="45">
        <v>0</v>
      </c>
      <c r="H251" s="45"/>
      <c r="I251" s="45"/>
    </row>
    <row r="252" spans="1:9" ht="30" customHeight="1" x14ac:dyDescent="0.2">
      <c r="A252" s="53" t="s">
        <v>316</v>
      </c>
      <c r="B252" s="53"/>
      <c r="C252" s="67" t="s">
        <v>317</v>
      </c>
      <c r="D252" s="43" t="s">
        <v>45</v>
      </c>
      <c r="E252" s="43" t="s">
        <v>42</v>
      </c>
      <c r="F252" s="43"/>
      <c r="G252" s="45">
        <f>G253</f>
        <v>933.1</v>
      </c>
      <c r="H252" s="45"/>
      <c r="I252" s="45"/>
    </row>
    <row r="253" spans="1:9" ht="30" customHeight="1" x14ac:dyDescent="0.2">
      <c r="A253" s="53" t="s">
        <v>83</v>
      </c>
      <c r="B253" s="53"/>
      <c r="C253" s="67" t="s">
        <v>317</v>
      </c>
      <c r="D253" s="43" t="s">
        <v>45</v>
      </c>
      <c r="E253" s="43" t="s">
        <v>42</v>
      </c>
      <c r="F253" s="44" t="s">
        <v>84</v>
      </c>
      <c r="G253" s="45">
        <v>933.1</v>
      </c>
      <c r="H253" s="45"/>
      <c r="I253" s="45"/>
    </row>
    <row r="254" spans="1:9" ht="30" customHeight="1" x14ac:dyDescent="0.2">
      <c r="A254" s="41" t="s">
        <v>180</v>
      </c>
      <c r="B254" s="53"/>
      <c r="C254" s="67" t="s">
        <v>319</v>
      </c>
      <c r="D254" s="43" t="s">
        <v>45</v>
      </c>
      <c r="E254" s="43" t="s">
        <v>42</v>
      </c>
      <c r="F254" s="44"/>
      <c r="G254" s="45">
        <f>G255</f>
        <v>82.7</v>
      </c>
      <c r="H254" s="45"/>
      <c r="I254" s="45"/>
    </row>
    <row r="255" spans="1:9" ht="30" customHeight="1" x14ac:dyDescent="0.2">
      <c r="A255" s="41" t="s">
        <v>83</v>
      </c>
      <c r="B255" s="53"/>
      <c r="C255" s="67" t="s">
        <v>319</v>
      </c>
      <c r="D255" s="43" t="s">
        <v>45</v>
      </c>
      <c r="E255" s="43" t="s">
        <v>42</v>
      </c>
      <c r="F255" s="43" t="s">
        <v>84</v>
      </c>
      <c r="G255" s="45">
        <f>64.9+17.8</f>
        <v>82.7</v>
      </c>
      <c r="H255" s="45"/>
      <c r="I255" s="45"/>
    </row>
    <row r="256" spans="1:9" ht="30" customHeight="1" x14ac:dyDescent="0.2">
      <c r="A256" s="53"/>
      <c r="B256" s="53"/>
      <c r="C256" s="67"/>
      <c r="D256" s="43"/>
      <c r="E256" s="43"/>
      <c r="F256" s="44"/>
      <c r="G256" s="45"/>
      <c r="H256" s="45"/>
      <c r="I256" s="45"/>
    </row>
    <row r="257" spans="1:9" x14ac:dyDescent="0.2">
      <c r="A257" s="41" t="s">
        <v>22</v>
      </c>
      <c r="B257" s="50">
        <v>911</v>
      </c>
      <c r="C257" s="43"/>
      <c r="D257" s="86" t="s">
        <v>45</v>
      </c>
      <c r="E257" s="86" t="s">
        <v>38</v>
      </c>
      <c r="F257" s="43"/>
      <c r="G257" s="74">
        <f>G258</f>
        <v>29</v>
      </c>
      <c r="H257" s="45"/>
      <c r="I257" s="45"/>
    </row>
    <row r="258" spans="1:9" x14ac:dyDescent="0.2">
      <c r="A258" s="54" t="s">
        <v>61</v>
      </c>
      <c r="B258" s="57"/>
      <c r="C258" s="55" t="s">
        <v>93</v>
      </c>
      <c r="D258" s="43" t="s">
        <v>45</v>
      </c>
      <c r="E258" s="86" t="s">
        <v>38</v>
      </c>
      <c r="F258" s="43"/>
      <c r="G258" s="45">
        <f>G259</f>
        <v>29</v>
      </c>
      <c r="H258" s="45"/>
      <c r="I258" s="45"/>
    </row>
    <row r="259" spans="1:9" x14ac:dyDescent="0.2">
      <c r="A259" s="54" t="s">
        <v>169</v>
      </c>
      <c r="B259" s="57"/>
      <c r="C259" s="55" t="s">
        <v>94</v>
      </c>
      <c r="D259" s="43" t="s">
        <v>45</v>
      </c>
      <c r="E259" s="86" t="s">
        <v>38</v>
      </c>
      <c r="F259" s="43"/>
      <c r="G259" s="45">
        <f>G260</f>
        <v>29</v>
      </c>
      <c r="H259" s="45"/>
      <c r="I259" s="45"/>
    </row>
    <row r="260" spans="1:9" x14ac:dyDescent="0.2">
      <c r="A260" s="54" t="s">
        <v>169</v>
      </c>
      <c r="B260" s="57"/>
      <c r="C260" s="42" t="s">
        <v>111</v>
      </c>
      <c r="D260" s="43" t="s">
        <v>45</v>
      </c>
      <c r="E260" s="86" t="s">
        <v>38</v>
      </c>
      <c r="F260" s="43"/>
      <c r="G260" s="45">
        <f>G261</f>
        <v>29</v>
      </c>
      <c r="H260" s="45"/>
      <c r="I260" s="45"/>
    </row>
    <row r="261" spans="1:9" x14ac:dyDescent="0.2">
      <c r="A261" s="41" t="s">
        <v>71</v>
      </c>
      <c r="B261" s="53"/>
      <c r="C261" s="55" t="s">
        <v>289</v>
      </c>
      <c r="D261" s="43"/>
      <c r="E261" s="86" t="s">
        <v>38</v>
      </c>
      <c r="F261" s="44"/>
      <c r="G261" s="45">
        <f>G262</f>
        <v>29</v>
      </c>
      <c r="H261" s="45"/>
      <c r="I261" s="45"/>
    </row>
    <row r="262" spans="1:9" x14ac:dyDescent="0.2">
      <c r="A262" s="60" t="s">
        <v>82</v>
      </c>
      <c r="B262" s="53"/>
      <c r="C262" s="66" t="s">
        <v>289</v>
      </c>
      <c r="D262" s="43"/>
      <c r="E262" s="86" t="s">
        <v>38</v>
      </c>
      <c r="F262" s="43" t="s">
        <v>216</v>
      </c>
      <c r="G262" s="45">
        <v>29</v>
      </c>
      <c r="H262" s="45"/>
      <c r="I262" s="45"/>
    </row>
    <row r="263" spans="1:9" x14ac:dyDescent="0.2">
      <c r="A263" s="37" t="s">
        <v>15</v>
      </c>
      <c r="B263" s="53"/>
      <c r="C263" s="67"/>
      <c r="D263" s="39" t="s">
        <v>46</v>
      </c>
      <c r="E263" s="39" t="s">
        <v>37</v>
      </c>
      <c r="F263" s="44"/>
      <c r="G263" s="114">
        <f>SUM(G265)</f>
        <v>752.9</v>
      </c>
      <c r="H263" s="45"/>
      <c r="I263" s="45"/>
    </row>
    <row r="264" spans="1:9" x14ac:dyDescent="0.2">
      <c r="A264" s="41" t="s">
        <v>13</v>
      </c>
      <c r="B264" s="53"/>
      <c r="C264" s="67"/>
      <c r="D264" s="56" t="s">
        <v>46</v>
      </c>
      <c r="E264" s="56" t="s">
        <v>36</v>
      </c>
      <c r="F264" s="44"/>
      <c r="G264" s="114">
        <f>SUM(G266)</f>
        <v>752.9</v>
      </c>
      <c r="H264" s="45"/>
      <c r="I264" s="45"/>
    </row>
    <row r="265" spans="1:9" x14ac:dyDescent="0.2">
      <c r="A265" s="116" t="s">
        <v>61</v>
      </c>
      <c r="B265" s="65">
        <v>911</v>
      </c>
      <c r="C265" s="55" t="s">
        <v>93</v>
      </c>
      <c r="D265" s="43" t="s">
        <v>46</v>
      </c>
      <c r="E265" s="43" t="s">
        <v>36</v>
      </c>
      <c r="F265" s="43"/>
      <c r="G265" s="114">
        <f>SUM(G267)</f>
        <v>752.9</v>
      </c>
      <c r="H265" s="45"/>
      <c r="I265" s="45"/>
    </row>
    <row r="266" spans="1:9" x14ac:dyDescent="0.2">
      <c r="A266" s="116" t="s">
        <v>61</v>
      </c>
      <c r="B266" s="53"/>
      <c r="C266" s="55" t="s">
        <v>94</v>
      </c>
      <c r="D266" s="43" t="s">
        <v>46</v>
      </c>
      <c r="E266" s="43" t="s">
        <v>36</v>
      </c>
      <c r="F266" s="43"/>
      <c r="G266" s="114">
        <f>G267</f>
        <v>752.9</v>
      </c>
      <c r="H266" s="45"/>
      <c r="I266" s="45"/>
    </row>
    <row r="267" spans="1:9" x14ac:dyDescent="0.2">
      <c r="A267" s="116" t="s">
        <v>169</v>
      </c>
      <c r="B267" s="53"/>
      <c r="C267" s="42" t="s">
        <v>111</v>
      </c>
      <c r="D267" s="43" t="s">
        <v>46</v>
      </c>
      <c r="E267" s="43" t="s">
        <v>36</v>
      </c>
      <c r="F267" s="43"/>
      <c r="G267" s="114">
        <f>G268+G270</f>
        <v>752.9</v>
      </c>
      <c r="H267" s="45"/>
      <c r="I267" s="45"/>
    </row>
    <row r="268" spans="1:9" ht="48" x14ac:dyDescent="0.2">
      <c r="A268" s="116" t="s">
        <v>204</v>
      </c>
      <c r="B268" s="53"/>
      <c r="C268" s="42" t="s">
        <v>203</v>
      </c>
      <c r="D268" s="43" t="s">
        <v>46</v>
      </c>
      <c r="E268" s="43" t="s">
        <v>36</v>
      </c>
      <c r="F268" s="43"/>
      <c r="G268" s="114">
        <f>G269</f>
        <v>658.5</v>
      </c>
      <c r="H268" s="45"/>
      <c r="I268" s="45"/>
    </row>
    <row r="269" spans="1:9" x14ac:dyDescent="0.2">
      <c r="A269" s="117" t="s">
        <v>144</v>
      </c>
      <c r="B269" s="53"/>
      <c r="C269" s="42" t="s">
        <v>203</v>
      </c>
      <c r="D269" s="43" t="s">
        <v>46</v>
      </c>
      <c r="E269" s="43" t="s">
        <v>36</v>
      </c>
      <c r="F269" s="42">
        <v>110</v>
      </c>
      <c r="G269" s="114">
        <f>431.1+227.4</f>
        <v>658.5</v>
      </c>
      <c r="H269" s="45"/>
      <c r="I269" s="45"/>
    </row>
    <row r="270" spans="1:9" ht="51" x14ac:dyDescent="0.2">
      <c r="A270" s="63" t="s">
        <v>291</v>
      </c>
      <c r="B270" s="53"/>
      <c r="C270" s="42" t="s">
        <v>290</v>
      </c>
      <c r="D270" s="43" t="s">
        <v>46</v>
      </c>
      <c r="E270" s="43" t="s">
        <v>36</v>
      </c>
      <c r="F270" s="43"/>
      <c r="G270" s="114">
        <f>G271</f>
        <v>94.4</v>
      </c>
      <c r="H270" s="45"/>
      <c r="I270" s="45"/>
    </row>
    <row r="271" spans="1:9" x14ac:dyDescent="0.2">
      <c r="A271" s="117" t="s">
        <v>144</v>
      </c>
      <c r="B271" s="53"/>
      <c r="C271" s="42" t="s">
        <v>290</v>
      </c>
      <c r="D271" s="43" t="s">
        <v>46</v>
      </c>
      <c r="E271" s="43" t="s">
        <v>36</v>
      </c>
      <c r="F271" s="42">
        <v>110</v>
      </c>
      <c r="G271" s="114">
        <v>94.4</v>
      </c>
      <c r="H271" s="45"/>
      <c r="I271" s="45"/>
    </row>
    <row r="272" spans="1:9" ht="15" x14ac:dyDescent="0.25">
      <c r="A272" s="118" t="s">
        <v>28</v>
      </c>
      <c r="B272" s="50">
        <v>911</v>
      </c>
      <c r="C272" s="39"/>
      <c r="D272" s="39" t="s">
        <v>47</v>
      </c>
      <c r="E272" s="39" t="s">
        <v>37</v>
      </c>
      <c r="F272" s="39"/>
      <c r="G272" s="36">
        <f t="shared" ref="G272:G277" si="28">G273</f>
        <v>1309.8</v>
      </c>
      <c r="H272" s="36">
        <f t="shared" ref="H272:H277" si="29">H273</f>
        <v>1309.8</v>
      </c>
      <c r="I272" s="36">
        <f t="shared" ref="I272:I277" si="30">I273</f>
        <v>1309.8</v>
      </c>
    </row>
    <row r="273" spans="1:9" x14ac:dyDescent="0.2">
      <c r="A273" s="41" t="s">
        <v>25</v>
      </c>
      <c r="B273" s="85"/>
      <c r="C273" s="56"/>
      <c r="D273" s="56" t="s">
        <v>47</v>
      </c>
      <c r="E273" s="56" t="s">
        <v>36</v>
      </c>
      <c r="F273" s="56"/>
      <c r="G273" s="45">
        <f t="shared" si="28"/>
        <v>1309.8</v>
      </c>
      <c r="H273" s="45">
        <f t="shared" si="29"/>
        <v>1309.8</v>
      </c>
      <c r="I273" s="45">
        <f t="shared" si="30"/>
        <v>1309.8</v>
      </c>
    </row>
    <row r="274" spans="1:9" x14ac:dyDescent="0.2">
      <c r="A274" s="54" t="s">
        <v>61</v>
      </c>
      <c r="B274" s="57"/>
      <c r="C274" s="55" t="s">
        <v>93</v>
      </c>
      <c r="D274" s="56" t="s">
        <v>47</v>
      </c>
      <c r="E274" s="56" t="s">
        <v>36</v>
      </c>
      <c r="F274" s="56"/>
      <c r="G274" s="45">
        <f t="shared" si="28"/>
        <v>1309.8</v>
      </c>
      <c r="H274" s="45">
        <f t="shared" si="29"/>
        <v>1309.8</v>
      </c>
      <c r="I274" s="45">
        <f t="shared" si="30"/>
        <v>1309.8</v>
      </c>
    </row>
    <row r="275" spans="1:9" x14ac:dyDescent="0.2">
      <c r="A275" s="54" t="s">
        <v>169</v>
      </c>
      <c r="B275" s="57"/>
      <c r="C275" s="55" t="s">
        <v>94</v>
      </c>
      <c r="D275" s="56" t="s">
        <v>47</v>
      </c>
      <c r="E275" s="56" t="s">
        <v>36</v>
      </c>
      <c r="F275" s="56"/>
      <c r="G275" s="45">
        <f t="shared" si="28"/>
        <v>1309.8</v>
      </c>
      <c r="H275" s="45">
        <f t="shared" si="29"/>
        <v>1309.8</v>
      </c>
      <c r="I275" s="45">
        <f t="shared" si="30"/>
        <v>1309.8</v>
      </c>
    </row>
    <row r="276" spans="1:9" x14ac:dyDescent="0.2">
      <c r="A276" s="54" t="s">
        <v>169</v>
      </c>
      <c r="B276" s="57"/>
      <c r="C276" s="42" t="s">
        <v>111</v>
      </c>
      <c r="D276" s="56" t="s">
        <v>47</v>
      </c>
      <c r="E276" s="56" t="s">
        <v>36</v>
      </c>
      <c r="F276" s="56"/>
      <c r="G276" s="45">
        <f t="shared" si="28"/>
        <v>1309.8</v>
      </c>
      <c r="H276" s="45">
        <f t="shared" si="29"/>
        <v>1309.8</v>
      </c>
      <c r="I276" s="45">
        <f t="shared" si="30"/>
        <v>1309.8</v>
      </c>
    </row>
    <row r="277" spans="1:9" x14ac:dyDescent="0.2">
      <c r="A277" s="41" t="s">
        <v>29</v>
      </c>
      <c r="B277" s="57"/>
      <c r="C277" s="42" t="s">
        <v>135</v>
      </c>
      <c r="D277" s="56" t="s">
        <v>47</v>
      </c>
      <c r="E277" s="56" t="s">
        <v>36</v>
      </c>
      <c r="F277" s="56"/>
      <c r="G277" s="45">
        <f t="shared" si="28"/>
        <v>1309.8</v>
      </c>
      <c r="H277" s="45">
        <f t="shared" si="29"/>
        <v>1309.8</v>
      </c>
      <c r="I277" s="45">
        <f t="shared" si="30"/>
        <v>1309.8</v>
      </c>
    </row>
    <row r="278" spans="1:9" x14ac:dyDescent="0.2">
      <c r="A278" s="41" t="s">
        <v>78</v>
      </c>
      <c r="B278" s="85"/>
      <c r="C278" s="42" t="s">
        <v>135</v>
      </c>
      <c r="D278" s="56" t="s">
        <v>47</v>
      </c>
      <c r="E278" s="56" t="s">
        <v>36</v>
      </c>
      <c r="F278" s="44" t="s">
        <v>79</v>
      </c>
      <c r="G278" s="45">
        <v>1309.8</v>
      </c>
      <c r="H278" s="45">
        <v>1309.8</v>
      </c>
      <c r="I278" s="45">
        <v>1309.8</v>
      </c>
    </row>
    <row r="279" spans="1:9" ht="15" x14ac:dyDescent="0.25">
      <c r="A279" s="37" t="s">
        <v>10</v>
      </c>
      <c r="B279" s="50">
        <v>911</v>
      </c>
      <c r="C279" s="50"/>
      <c r="D279" s="39" t="s">
        <v>40</v>
      </c>
      <c r="E279" s="39" t="s">
        <v>37</v>
      </c>
      <c r="F279" s="50"/>
      <c r="G279" s="36">
        <f t="shared" ref="G279:I283" si="31">G280</f>
        <v>0</v>
      </c>
      <c r="H279" s="36">
        <f t="shared" si="31"/>
        <v>94.5</v>
      </c>
      <c r="I279" s="36">
        <f t="shared" si="31"/>
        <v>1420.2</v>
      </c>
    </row>
    <row r="280" spans="1:9" x14ac:dyDescent="0.2">
      <c r="A280" s="54" t="s">
        <v>61</v>
      </c>
      <c r="B280" s="75"/>
      <c r="C280" s="55" t="s">
        <v>93</v>
      </c>
      <c r="D280" s="73" t="s">
        <v>40</v>
      </c>
      <c r="E280" s="73" t="s">
        <v>45</v>
      </c>
      <c r="F280" s="56"/>
      <c r="G280" s="45">
        <f t="shared" si="31"/>
        <v>0</v>
      </c>
      <c r="H280" s="45">
        <f t="shared" si="31"/>
        <v>94.5</v>
      </c>
      <c r="I280" s="45">
        <f t="shared" si="31"/>
        <v>1420.2</v>
      </c>
    </row>
    <row r="281" spans="1:9" x14ac:dyDescent="0.2">
      <c r="A281" s="54" t="s">
        <v>169</v>
      </c>
      <c r="B281" s="75"/>
      <c r="C281" s="55" t="s">
        <v>94</v>
      </c>
      <c r="D281" s="73" t="s">
        <v>40</v>
      </c>
      <c r="E281" s="73" t="s">
        <v>45</v>
      </c>
      <c r="F281" s="56"/>
      <c r="G281" s="45">
        <f t="shared" si="31"/>
        <v>0</v>
      </c>
      <c r="H281" s="45">
        <f t="shared" si="31"/>
        <v>94.5</v>
      </c>
      <c r="I281" s="45">
        <f t="shared" si="31"/>
        <v>1420.2</v>
      </c>
    </row>
    <row r="282" spans="1:9" x14ac:dyDescent="0.2">
      <c r="A282" s="54" t="s">
        <v>169</v>
      </c>
      <c r="B282" s="75"/>
      <c r="C282" s="42" t="s">
        <v>111</v>
      </c>
      <c r="D282" s="73" t="s">
        <v>40</v>
      </c>
      <c r="E282" s="73" t="s">
        <v>45</v>
      </c>
      <c r="F282" s="56"/>
      <c r="G282" s="45">
        <f>G283+G285</f>
        <v>0</v>
      </c>
      <c r="H282" s="45">
        <f t="shared" si="31"/>
        <v>94.5</v>
      </c>
      <c r="I282" s="45">
        <f t="shared" si="31"/>
        <v>1420.2</v>
      </c>
    </row>
    <row r="283" spans="1:9" x14ac:dyDescent="0.2">
      <c r="A283" s="41" t="s">
        <v>11</v>
      </c>
      <c r="B283" s="75"/>
      <c r="C283" s="42" t="s">
        <v>219</v>
      </c>
      <c r="D283" s="73" t="s">
        <v>40</v>
      </c>
      <c r="E283" s="73" t="s">
        <v>45</v>
      </c>
      <c r="F283" s="56"/>
      <c r="G283" s="45">
        <f t="shared" si="31"/>
        <v>0</v>
      </c>
      <c r="H283" s="45">
        <f t="shared" si="31"/>
        <v>94.5</v>
      </c>
      <c r="I283" s="45">
        <f t="shared" si="31"/>
        <v>1420.2</v>
      </c>
    </row>
    <row r="284" spans="1:9" ht="25.5" x14ac:dyDescent="0.2">
      <c r="A284" s="41" t="s">
        <v>83</v>
      </c>
      <c r="B284" s="75"/>
      <c r="C284" s="42" t="s">
        <v>219</v>
      </c>
      <c r="D284" s="73" t="s">
        <v>40</v>
      </c>
      <c r="E284" s="73" t="s">
        <v>45</v>
      </c>
      <c r="F284" s="43" t="s">
        <v>84</v>
      </c>
      <c r="G284" s="45">
        <v>0</v>
      </c>
      <c r="H284" s="45">
        <v>94.5</v>
      </c>
      <c r="I284" s="45">
        <v>1420.2</v>
      </c>
    </row>
    <row r="285" spans="1:9" ht="25.5" x14ac:dyDescent="0.2">
      <c r="A285" s="53" t="s">
        <v>11</v>
      </c>
      <c r="B285" s="75"/>
      <c r="C285" s="42" t="s">
        <v>270</v>
      </c>
      <c r="D285" s="73" t="s">
        <v>40</v>
      </c>
      <c r="E285" s="73" t="s">
        <v>45</v>
      </c>
      <c r="F285" s="43"/>
      <c r="G285" s="114">
        <f>G286</f>
        <v>0</v>
      </c>
      <c r="H285" s="45">
        <v>0</v>
      </c>
      <c r="I285" s="45">
        <v>0</v>
      </c>
    </row>
    <row r="286" spans="1:9" ht="25.5" x14ac:dyDescent="0.2">
      <c r="A286" s="53" t="s">
        <v>11</v>
      </c>
      <c r="B286" s="75"/>
      <c r="C286" s="42" t="s">
        <v>270</v>
      </c>
      <c r="D286" s="73" t="s">
        <v>40</v>
      </c>
      <c r="E286" s="73" t="s">
        <v>45</v>
      </c>
      <c r="F286" s="71" t="s">
        <v>84</v>
      </c>
      <c r="G286" s="114">
        <v>0</v>
      </c>
      <c r="H286" s="45">
        <v>0</v>
      </c>
      <c r="I286" s="45">
        <v>0</v>
      </c>
    </row>
    <row r="287" spans="1:9" x14ac:dyDescent="0.2">
      <c r="A287" s="37" t="s">
        <v>271</v>
      </c>
      <c r="B287" s="50">
        <v>911</v>
      </c>
      <c r="C287" s="39"/>
      <c r="D287" s="39" t="s">
        <v>44</v>
      </c>
      <c r="E287" s="39" t="s">
        <v>37</v>
      </c>
      <c r="F287" s="50"/>
      <c r="G287" s="40">
        <f>G288</f>
        <v>99.949999999999989</v>
      </c>
      <c r="H287" s="40">
        <f>H288</f>
        <v>0</v>
      </c>
      <c r="I287" s="40">
        <f>I288</f>
        <v>0</v>
      </c>
    </row>
    <row r="288" spans="1:9" x14ac:dyDescent="0.2">
      <c r="A288" s="41" t="s">
        <v>272</v>
      </c>
      <c r="B288" s="57"/>
      <c r="C288" s="43"/>
      <c r="D288" s="119" t="s">
        <v>44</v>
      </c>
      <c r="E288" s="119" t="s">
        <v>42</v>
      </c>
      <c r="F288" s="72"/>
      <c r="G288" s="76">
        <f>G290+G294</f>
        <v>99.949999999999989</v>
      </c>
      <c r="H288" s="76">
        <f>H290+H294</f>
        <v>0</v>
      </c>
      <c r="I288" s="76">
        <f>I290+I294</f>
        <v>0</v>
      </c>
    </row>
    <row r="289" spans="1:10" x14ac:dyDescent="0.2">
      <c r="A289" s="54" t="s">
        <v>61</v>
      </c>
      <c r="B289" s="75"/>
      <c r="C289" s="55" t="s">
        <v>93</v>
      </c>
      <c r="D289" s="119" t="s">
        <v>44</v>
      </c>
      <c r="E289" s="119" t="s">
        <v>42</v>
      </c>
      <c r="F289" s="56"/>
      <c r="G289" s="45">
        <f t="shared" ref="G289:I292" si="32">G290</f>
        <v>99.949999999999989</v>
      </c>
      <c r="H289" s="45">
        <f t="shared" si="32"/>
        <v>0</v>
      </c>
      <c r="I289" s="45">
        <f t="shared" si="32"/>
        <v>0</v>
      </c>
    </row>
    <row r="290" spans="1:10" x14ac:dyDescent="0.2">
      <c r="A290" s="54" t="s">
        <v>169</v>
      </c>
      <c r="B290" s="75"/>
      <c r="C290" s="55" t="s">
        <v>94</v>
      </c>
      <c r="D290" s="119" t="s">
        <v>44</v>
      </c>
      <c r="E290" s="119" t="s">
        <v>42</v>
      </c>
      <c r="F290" s="56"/>
      <c r="G290" s="45">
        <f t="shared" si="32"/>
        <v>99.949999999999989</v>
      </c>
      <c r="H290" s="45">
        <f t="shared" si="32"/>
        <v>0</v>
      </c>
      <c r="I290" s="45">
        <f t="shared" si="32"/>
        <v>0</v>
      </c>
    </row>
    <row r="291" spans="1:10" x14ac:dyDescent="0.2">
      <c r="A291" s="54" t="s">
        <v>169</v>
      </c>
      <c r="B291" s="75"/>
      <c r="C291" s="42" t="s">
        <v>111</v>
      </c>
      <c r="D291" s="119" t="s">
        <v>44</v>
      </c>
      <c r="E291" s="119" t="s">
        <v>42</v>
      </c>
      <c r="F291" s="56"/>
      <c r="G291" s="45">
        <f>G292+G294</f>
        <v>99.949999999999989</v>
      </c>
      <c r="H291" s="45">
        <f t="shared" si="32"/>
        <v>0</v>
      </c>
      <c r="I291" s="45">
        <f t="shared" si="32"/>
        <v>0</v>
      </c>
    </row>
    <row r="292" spans="1:10" x14ac:dyDescent="0.2">
      <c r="A292" s="41" t="s">
        <v>11</v>
      </c>
      <c r="B292" s="75"/>
      <c r="C292" s="42" t="s">
        <v>273</v>
      </c>
      <c r="D292" s="119" t="s">
        <v>44</v>
      </c>
      <c r="E292" s="119" t="s">
        <v>42</v>
      </c>
      <c r="F292" s="56"/>
      <c r="G292" s="45">
        <f t="shared" si="32"/>
        <v>99.949999999999989</v>
      </c>
      <c r="H292" s="45">
        <f t="shared" si="32"/>
        <v>0</v>
      </c>
      <c r="I292" s="45">
        <f t="shared" si="32"/>
        <v>0</v>
      </c>
      <c r="J292" s="52"/>
    </row>
    <row r="293" spans="1:10" ht="25.5" x14ac:dyDescent="0.2">
      <c r="A293" s="41" t="s">
        <v>83</v>
      </c>
      <c r="B293" s="75"/>
      <c r="C293" s="42" t="s">
        <v>273</v>
      </c>
      <c r="D293" s="119" t="s">
        <v>44</v>
      </c>
      <c r="E293" s="119" t="s">
        <v>42</v>
      </c>
      <c r="F293" s="43" t="s">
        <v>84</v>
      </c>
      <c r="G293" s="45">
        <f>400-100-165-0.05-35</f>
        <v>99.949999999999989</v>
      </c>
      <c r="H293" s="45">
        <v>0</v>
      </c>
      <c r="I293" s="45">
        <v>0</v>
      </c>
      <c r="J293" s="52"/>
    </row>
    <row r="294" spans="1:10" x14ac:dyDescent="0.2">
      <c r="A294" s="120"/>
      <c r="H294" s="1"/>
      <c r="J294" s="52"/>
    </row>
    <row r="295" spans="1:10" x14ac:dyDescent="0.2">
      <c r="A295" s="120"/>
      <c r="H295" s="1"/>
      <c r="J295" s="52"/>
    </row>
    <row r="296" spans="1:10" x14ac:dyDescent="0.2">
      <c r="H296" s="1"/>
      <c r="J296" s="52"/>
    </row>
    <row r="297" spans="1:10" x14ac:dyDescent="0.2">
      <c r="H297" s="1"/>
      <c r="J297" s="52"/>
    </row>
    <row r="298" spans="1:10" x14ac:dyDescent="0.2">
      <c r="H298" s="1"/>
      <c r="J298" s="52"/>
    </row>
    <row r="299" spans="1:10" x14ac:dyDescent="0.2">
      <c r="A299" s="120"/>
    </row>
    <row r="300" spans="1:10" x14ac:dyDescent="0.2">
      <c r="A300" s="120"/>
    </row>
    <row r="301" spans="1:10" x14ac:dyDescent="0.2">
      <c r="A301" s="120"/>
    </row>
    <row r="302" spans="1:10" x14ac:dyDescent="0.2">
      <c r="A302" s="120"/>
    </row>
    <row r="303" spans="1:10" x14ac:dyDescent="0.2">
      <c r="A303" s="120"/>
    </row>
    <row r="304" spans="1:10" x14ac:dyDescent="0.2">
      <c r="A304" s="120"/>
    </row>
    <row r="305" spans="1:1" x14ac:dyDescent="0.2">
      <c r="A305" s="120"/>
    </row>
    <row r="306" spans="1:1" x14ac:dyDescent="0.2">
      <c r="A306" s="120"/>
    </row>
    <row r="307" spans="1:1" x14ac:dyDescent="0.2">
      <c r="A307" s="120"/>
    </row>
    <row r="308" spans="1:1" x14ac:dyDescent="0.2">
      <c r="A308" s="120"/>
    </row>
    <row r="309" spans="1:1" x14ac:dyDescent="0.2">
      <c r="A309" s="120"/>
    </row>
    <row r="310" spans="1:1" x14ac:dyDescent="0.2">
      <c r="A310" s="120"/>
    </row>
    <row r="311" spans="1:1" x14ac:dyDescent="0.2">
      <c r="A311" s="120"/>
    </row>
    <row r="312" spans="1:1" x14ac:dyDescent="0.2">
      <c r="A312" s="120"/>
    </row>
    <row r="313" spans="1:1" x14ac:dyDescent="0.2">
      <c r="A313" s="120"/>
    </row>
    <row r="314" spans="1:1" x14ac:dyDescent="0.2">
      <c r="A314" s="120"/>
    </row>
    <row r="315" spans="1:1" x14ac:dyDescent="0.2">
      <c r="A315" s="120"/>
    </row>
    <row r="316" spans="1:1" x14ac:dyDescent="0.2">
      <c r="A316" s="120"/>
    </row>
    <row r="317" spans="1:1" x14ac:dyDescent="0.2">
      <c r="A317" s="120"/>
    </row>
    <row r="318" spans="1:1" x14ac:dyDescent="0.2">
      <c r="A318" s="120"/>
    </row>
    <row r="319" spans="1:1" x14ac:dyDescent="0.2">
      <c r="A319" s="120"/>
    </row>
    <row r="320" spans="1:1" x14ac:dyDescent="0.2">
      <c r="A320" s="120"/>
    </row>
    <row r="321" spans="1:1" x14ac:dyDescent="0.2">
      <c r="A321" s="120"/>
    </row>
    <row r="322" spans="1:1" x14ac:dyDescent="0.2">
      <c r="A322" s="120"/>
    </row>
    <row r="323" spans="1:1" x14ac:dyDescent="0.2">
      <c r="A323" s="120"/>
    </row>
    <row r="324" spans="1:1" x14ac:dyDescent="0.2">
      <c r="A324" s="120"/>
    </row>
    <row r="325" spans="1:1" x14ac:dyDescent="0.2">
      <c r="A325" s="120"/>
    </row>
    <row r="326" spans="1:1" x14ac:dyDescent="0.2">
      <c r="A326" s="120"/>
    </row>
    <row r="327" spans="1:1" x14ac:dyDescent="0.2">
      <c r="A327" s="120"/>
    </row>
    <row r="328" spans="1:1" x14ac:dyDescent="0.2">
      <c r="A328" s="120"/>
    </row>
    <row r="329" spans="1:1" x14ac:dyDescent="0.2">
      <c r="A329" s="120"/>
    </row>
    <row r="330" spans="1:1" x14ac:dyDescent="0.2">
      <c r="A330" s="120"/>
    </row>
    <row r="331" spans="1:1" x14ac:dyDescent="0.2">
      <c r="A331" s="120"/>
    </row>
    <row r="332" spans="1:1" x14ac:dyDescent="0.2">
      <c r="A332" s="120"/>
    </row>
    <row r="333" spans="1:1" x14ac:dyDescent="0.2">
      <c r="A333" s="120"/>
    </row>
    <row r="334" spans="1:1" x14ac:dyDescent="0.2">
      <c r="A334" s="120"/>
    </row>
    <row r="335" spans="1:1" x14ac:dyDescent="0.2">
      <c r="A335" s="120"/>
    </row>
    <row r="336" spans="1:1" x14ac:dyDescent="0.2">
      <c r="A336" s="120"/>
    </row>
    <row r="337" spans="1:1" x14ac:dyDescent="0.2">
      <c r="A337" s="120"/>
    </row>
    <row r="338" spans="1:1" x14ac:dyDescent="0.2">
      <c r="A338" s="120"/>
    </row>
    <row r="339" spans="1:1" x14ac:dyDescent="0.2">
      <c r="A339" s="120"/>
    </row>
    <row r="340" spans="1:1" x14ac:dyDescent="0.2">
      <c r="A340" s="120"/>
    </row>
    <row r="341" spans="1:1" x14ac:dyDescent="0.2">
      <c r="A341" s="120"/>
    </row>
    <row r="342" spans="1:1" x14ac:dyDescent="0.2">
      <c r="A342" s="120"/>
    </row>
    <row r="343" spans="1:1" x14ac:dyDescent="0.2">
      <c r="A343" s="120"/>
    </row>
    <row r="344" spans="1:1" x14ac:dyDescent="0.2">
      <c r="A344" s="120"/>
    </row>
    <row r="345" spans="1:1" x14ac:dyDescent="0.2">
      <c r="A345" s="120"/>
    </row>
    <row r="346" spans="1:1" x14ac:dyDescent="0.2">
      <c r="A346" s="120"/>
    </row>
    <row r="347" spans="1:1" x14ac:dyDescent="0.2">
      <c r="A347" s="120"/>
    </row>
    <row r="348" spans="1:1" x14ac:dyDescent="0.2">
      <c r="A348" s="120"/>
    </row>
    <row r="349" spans="1:1" x14ac:dyDescent="0.2">
      <c r="A349" s="120"/>
    </row>
    <row r="350" spans="1:1" x14ac:dyDescent="0.2">
      <c r="A350" s="120"/>
    </row>
    <row r="351" spans="1:1" x14ac:dyDescent="0.2">
      <c r="A351" s="120"/>
    </row>
    <row r="352" spans="1:1" x14ac:dyDescent="0.2">
      <c r="A352" s="120"/>
    </row>
    <row r="353" spans="1:1" x14ac:dyDescent="0.2">
      <c r="A353" s="120"/>
    </row>
    <row r="354" spans="1:1" x14ac:dyDescent="0.2">
      <c r="A354" s="120"/>
    </row>
    <row r="355" spans="1:1" x14ac:dyDescent="0.2">
      <c r="A355" s="120"/>
    </row>
    <row r="356" spans="1:1" x14ac:dyDescent="0.2">
      <c r="A356" s="120"/>
    </row>
    <row r="357" spans="1:1" x14ac:dyDescent="0.2">
      <c r="A357" s="120"/>
    </row>
    <row r="358" spans="1:1" x14ac:dyDescent="0.2">
      <c r="A358" s="120"/>
    </row>
    <row r="359" spans="1:1" x14ac:dyDescent="0.2">
      <c r="A359" s="120"/>
    </row>
    <row r="360" spans="1:1" x14ac:dyDescent="0.2">
      <c r="A360" s="120"/>
    </row>
    <row r="361" spans="1:1" x14ac:dyDescent="0.2">
      <c r="A361" s="120"/>
    </row>
    <row r="362" spans="1:1" x14ac:dyDescent="0.2">
      <c r="A362" s="120"/>
    </row>
    <row r="363" spans="1:1" x14ac:dyDescent="0.2">
      <c r="A363" s="120"/>
    </row>
    <row r="364" spans="1:1" x14ac:dyDescent="0.2">
      <c r="A364" s="120"/>
    </row>
    <row r="365" spans="1:1" x14ac:dyDescent="0.2">
      <c r="A365" s="120"/>
    </row>
    <row r="366" spans="1:1" x14ac:dyDescent="0.2">
      <c r="A366" s="120"/>
    </row>
    <row r="367" spans="1:1" x14ac:dyDescent="0.2">
      <c r="A367" s="120"/>
    </row>
    <row r="368" spans="1:1" x14ac:dyDescent="0.2">
      <c r="A368" s="120"/>
    </row>
    <row r="369" spans="1:1" x14ac:dyDescent="0.2">
      <c r="A369" s="120"/>
    </row>
    <row r="370" spans="1:1" x14ac:dyDescent="0.2">
      <c r="A370" s="120"/>
    </row>
    <row r="371" spans="1:1" x14ac:dyDescent="0.2">
      <c r="A371" s="120"/>
    </row>
    <row r="372" spans="1:1" x14ac:dyDescent="0.2">
      <c r="A372" s="120"/>
    </row>
    <row r="373" spans="1:1" x14ac:dyDescent="0.2">
      <c r="A373" s="120"/>
    </row>
  </sheetData>
  <mergeCells count="2">
    <mergeCell ref="A6:G6"/>
    <mergeCell ref="J162:O162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M17" sqref="M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Валентина</cp:lastModifiedBy>
  <cp:lastPrinted>2018-12-14T06:59:54Z</cp:lastPrinted>
  <dcterms:created xsi:type="dcterms:W3CDTF">2007-09-04T08:08:49Z</dcterms:created>
  <dcterms:modified xsi:type="dcterms:W3CDTF">2019-01-11T08:33:03Z</dcterms:modified>
</cp:coreProperties>
</file>